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4.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5.xml" ContentType="application/vnd.openxmlformats-officedocument.drawing+xml"/>
  <Override PartName="/xl/charts/chart32.xml" ContentType="application/vnd.openxmlformats-officedocument.drawingml.chart+xml"/>
  <Override PartName="/xl/drawings/drawing1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updateLinks="never" codeName="ThisWorkbook"/>
  <mc:AlternateContent xmlns:mc="http://schemas.openxmlformats.org/markup-compatibility/2006">
    <mc:Choice Requires="x15">
      <x15ac:absPath xmlns:x15ac="http://schemas.microsoft.com/office/spreadsheetml/2010/11/ac" url="D:\Upload files\"/>
    </mc:Choice>
  </mc:AlternateContent>
  <xr:revisionPtr revIDLastSave="0" documentId="13_ncr:1_{04D2B1F6-F8A1-4AE4-A00C-4D91FD0D2DF1}" xr6:coauthVersionLast="47" xr6:coauthVersionMax="47" xr10:uidLastSave="{00000000-0000-0000-0000-000000000000}"/>
  <bookViews>
    <workbookView xWindow="-108" yWindow="-108" windowWidth="23256" windowHeight="13176" tabRatio="829" activeTab="1" xr2:uid="{00000000-000D-0000-FFFF-FFFF00000000}"/>
  </bookViews>
  <sheets>
    <sheet name="Instructions" sheetId="2" r:id="rId1"/>
    <sheet name="Analysis" sheetId="1" r:id="rId2"/>
    <sheet name="Data" sheetId="16" state="hidden" r:id="rId3"/>
    <sheet name="AnnBS" sheetId="82" state="hidden" r:id="rId4"/>
    <sheet name="Income" sheetId="86" state="hidden" r:id="rId5"/>
    <sheet name="Bond rate" sheetId="11" state="hidden" r:id="rId6"/>
    <sheet name="CFlow" sheetId="87" state="hidden" r:id="rId7"/>
    <sheet name="G-1" sheetId="26" r:id="rId8"/>
    <sheet name="G-1a" sheetId="51" r:id="rId9"/>
    <sheet name="G-2" sheetId="27" r:id="rId10"/>
    <sheet name="G-2a" sheetId="39" r:id="rId11"/>
    <sheet name="G-3" sheetId="32" r:id="rId12"/>
    <sheet name="G-3a" sheetId="50" r:id="rId13"/>
    <sheet name="G-4" sheetId="29" r:id="rId14"/>
    <sheet name="G-5" sheetId="47" r:id="rId15"/>
    <sheet name="G-5a" sheetId="49" r:id="rId16"/>
    <sheet name="G-6" sheetId="31" r:id="rId17"/>
    <sheet name="G-6a" sheetId="40" r:id="rId18"/>
    <sheet name="G-7a" sheetId="85" r:id="rId19"/>
    <sheet name="G-8" sheetId="34" r:id="rId20"/>
    <sheet name="G-9" sheetId="30" r:id="rId21"/>
  </sheets>
  <definedNames>
    <definedName name="_Comps">#REF!</definedName>
    <definedName name="_PriceDate">#REF!</definedName>
    <definedName name="_Regression_Int" localSheetId="1" hidden="1">1</definedName>
    <definedName name="ARLastYear">Analysis!$X$9</definedName>
    <definedName name="ARThisYear">Analysis!$X$8</definedName>
    <definedName name="Cash">Analysis!$X$7</definedName>
    <definedName name="CommonSharesLastYear">Analysis!$X$19</definedName>
    <definedName name="CommonSharesThisYear">Analysis!$X$18</definedName>
    <definedName name="CompanyID">Analysis!$F$2</definedName>
    <definedName name="CostsLastYear">Analysis!$X$25</definedName>
    <definedName name="CostsThisYear">Analysis!$X$24</definedName>
    <definedName name="CurrentPrice">Analysis!$X$34</definedName>
    <definedName name="CurrentPriceDate">Analysis!#REF!</definedName>
    <definedName name="Dividends">Analysis!$X$33</definedName>
    <definedName name="InventoriesLastYear">Analysis!$X$11</definedName>
    <definedName name="InventoriesThisYear">Analysis!$X$10</definedName>
    <definedName name="Investments">Analysis!#REF!</definedName>
    <definedName name="LTDebtLastYear">Analysis!$X$17</definedName>
    <definedName name="LTDebtThisYEar">Analysis!$X$16</definedName>
    <definedName name="nDataItemsMissing">Analysis!#REF!</definedName>
    <definedName name="Net_Income">Analysis!$E$55</definedName>
    <definedName name="NetCash">Analysis!$F$55</definedName>
    <definedName name="NetCashOperationsLastYear">Analysis!$X$32</definedName>
    <definedName name="NetCashOperationsThisYear">Analysis!$X$31</definedName>
    <definedName name="NetIncome">Analysis!$G$55</definedName>
    <definedName name="NetProfitLastYear">Analysis!$X$28</definedName>
    <definedName name="NetProfitThisYear">Analysis!$X$27</definedName>
    <definedName name="PPEAcquisition">Analysis!#REF!</definedName>
    <definedName name="PPELastYear">Analysis!$X$14</definedName>
    <definedName name="PPEThisYear">Analysis!$X$13</definedName>
    <definedName name="Price">Analysis!$X$34</definedName>
    <definedName name="_xlnm.Print_Area" localSheetId="1">Analysis!$A$1:$V$78</definedName>
    <definedName name="Print_Area_MI">Analysis!$B$2:$S$69</definedName>
    <definedName name="PTP">Analysis!$X$26</definedName>
    <definedName name="RevenuesLastYear">Analysis!$X$23</definedName>
    <definedName name="RevenuesThisYear">Analysis!$X$22</definedName>
    <definedName name="rngBalanceSheet">Analysis!$X$7:$X$20</definedName>
    <definedName name="rngEarningsStatement">Analysis!$X$22:$X$29</definedName>
    <definedName name="rngOtherData">Analysis!$X$31:$X$34</definedName>
    <definedName name="s" localSheetId="5">'Bond rate'!$A$2:$D$497</definedName>
    <definedName name="TotalCurrentAssets">Analysis!$X$12</definedName>
    <definedName name="TotalCurrentLiabilities">Analysis!$X$15</definedName>
    <definedName name="TotalInterestCoverage">Analysis!#REF!</definedName>
    <definedName name="TotalInterestPaidonDebt">Analysis!$X$29</definedName>
    <definedName name="TotalStockholdersEquity">Analysis!$X$20</definedName>
    <definedName name="Zacks_Ann_cash_flow_statements" localSheetId="6">CFlow!$A$2:$F$365</definedName>
    <definedName name="Zacks_balance_sheet" localSheetId="3">AnnBS!$A$2:$F$431</definedName>
    <definedName name="Zacks_income_statement" localSheetId="4">Income!$A$2:$F$387</definedName>
  </definedNames>
  <calcPr calcId="191029"/>
</workbook>
</file>

<file path=xl/calcChain.xml><?xml version="1.0" encoding="utf-8"?>
<calcChain xmlns="http://schemas.openxmlformats.org/spreadsheetml/2006/main">
  <c r="K3" i="1" l="1"/>
  <c r="J210" i="82"/>
  <c r="J202" i="82"/>
  <c r="J201" i="82"/>
  <c r="J218" i="82"/>
  <c r="J207" i="82"/>
  <c r="L207" i="82"/>
  <c r="H82" i="1"/>
  <c r="C82" i="1" s="1"/>
  <c r="L209" i="82"/>
  <c r="L208" i="82"/>
  <c r="J217" i="82"/>
  <c r="J216" i="82"/>
  <c r="D73" i="16"/>
  <c r="C73" i="16"/>
  <c r="J204" i="82" l="1"/>
  <c r="B81" i="16" s="1"/>
  <c r="J209" i="82"/>
  <c r="J200" i="82" l="1"/>
  <c r="J213" i="82"/>
  <c r="A79" i="16"/>
  <c r="J211" i="82"/>
  <c r="D78" i="16" l="1"/>
  <c r="X34" i="1" s="1"/>
  <c r="C79" i="16"/>
  <c r="J203" i="82"/>
  <c r="C74" i="16" s="1"/>
  <c r="A114" i="16"/>
  <c r="E114" i="16" s="1"/>
  <c r="C118" i="16"/>
  <c r="D118" i="16"/>
  <c r="E118" i="16"/>
  <c r="F118" i="16"/>
  <c r="G118" i="16"/>
  <c r="A106" i="16"/>
  <c r="F106" i="16" s="1"/>
  <c r="A107" i="16"/>
  <c r="E107" i="16" s="1"/>
  <c r="A110" i="16"/>
  <c r="D110" i="16" s="1"/>
  <c r="A111" i="16"/>
  <c r="C111" i="16" s="1"/>
  <c r="A112" i="16"/>
  <c r="F112" i="16" s="1"/>
  <c r="A113" i="16"/>
  <c r="E113" i="16" s="1"/>
  <c r="A116" i="16"/>
  <c r="D116" i="16" s="1"/>
  <c r="A117" i="16"/>
  <c r="C117" i="16" s="1"/>
  <c r="A119" i="16"/>
  <c r="E119" i="16" s="1"/>
  <c r="A120" i="16"/>
  <c r="D120" i="16" s="1"/>
  <c r="A104" i="16"/>
  <c r="D104" i="16" s="1"/>
  <c r="A85" i="16"/>
  <c r="A96" i="16"/>
  <c r="E96" i="16" s="1"/>
  <c r="A97" i="16"/>
  <c r="D97" i="16" s="1"/>
  <c r="A98" i="16"/>
  <c r="C98" i="16" s="1"/>
  <c r="A99" i="16"/>
  <c r="F99" i="16" s="1"/>
  <c r="A100" i="16"/>
  <c r="E100" i="16" s="1"/>
  <c r="A101" i="16"/>
  <c r="D101" i="16" s="1"/>
  <c r="A95" i="16"/>
  <c r="D95" i="16" s="1"/>
  <c r="F111" i="16" l="1"/>
  <c r="D99" i="16"/>
  <c r="G120" i="16"/>
  <c r="F117" i="16"/>
  <c r="D107" i="16"/>
  <c r="C120" i="16"/>
  <c r="D113" i="16"/>
  <c r="E106" i="16"/>
  <c r="D119" i="16"/>
  <c r="E112" i="16"/>
  <c r="E99" i="16"/>
  <c r="G104" i="16"/>
  <c r="C110" i="16"/>
  <c r="F104" i="16"/>
  <c r="F120" i="16"/>
  <c r="G119" i="16"/>
  <c r="C119" i="16"/>
  <c r="E117" i="16"/>
  <c r="F116" i="16"/>
  <c r="G113" i="16"/>
  <c r="C113" i="16"/>
  <c r="D112" i="16"/>
  <c r="E111" i="16"/>
  <c r="F110" i="16"/>
  <c r="G107" i="16"/>
  <c r="C107" i="16"/>
  <c r="D106" i="16"/>
  <c r="G110" i="16"/>
  <c r="E104" i="16"/>
  <c r="E120" i="16"/>
  <c r="F119" i="16"/>
  <c r="D117" i="16"/>
  <c r="E116" i="16"/>
  <c r="F113" i="16"/>
  <c r="G112" i="16"/>
  <c r="C112" i="16"/>
  <c r="D111" i="16"/>
  <c r="E110" i="16"/>
  <c r="F107" i="16"/>
  <c r="G106" i="16"/>
  <c r="C106" i="16"/>
  <c r="G116" i="16"/>
  <c r="C116" i="16"/>
  <c r="C104" i="16"/>
  <c r="G117" i="16"/>
  <c r="G111" i="16"/>
  <c r="C99" i="16"/>
  <c r="G99" i="16"/>
  <c r="G96" i="16"/>
  <c r="G114" i="16"/>
  <c r="C114" i="16"/>
  <c r="D114" i="16"/>
  <c r="F114" i="16"/>
  <c r="G95" i="16"/>
  <c r="G101" i="16"/>
  <c r="C101" i="16"/>
  <c r="D100" i="16"/>
  <c r="F98" i="16"/>
  <c r="G97" i="16"/>
  <c r="C97" i="16"/>
  <c r="D96" i="16"/>
  <c r="F97" i="16"/>
  <c r="C96" i="16"/>
  <c r="F95" i="16"/>
  <c r="F101" i="16"/>
  <c r="G100" i="16"/>
  <c r="C100" i="16"/>
  <c r="E98" i="16"/>
  <c r="F96" i="16"/>
  <c r="E95" i="16"/>
  <c r="E101" i="16"/>
  <c r="F100" i="16"/>
  <c r="D98" i="16"/>
  <c r="E97" i="16"/>
  <c r="C95" i="16"/>
  <c r="G98" i="16"/>
  <c r="J319" i="82"/>
  <c r="J321" i="82"/>
  <c r="A78" i="16"/>
  <c r="D79" i="1" l="1"/>
  <c r="H80" i="1" s="1"/>
  <c r="J325" i="82"/>
  <c r="C15" i="16" s="1"/>
  <c r="J323" i="82"/>
  <c r="J322" i="82"/>
  <c r="E80" i="1" l="1"/>
  <c r="F2" i="1"/>
  <c r="J320" i="82"/>
  <c r="E80" i="16" l="1"/>
  <c r="E79" i="16"/>
  <c r="E78" i="16" l="1"/>
  <c r="D80" i="16" s="1"/>
  <c r="E81" i="16" s="1"/>
  <c r="D81" i="16" s="1"/>
  <c r="X36" i="1" l="1"/>
  <c r="X37" i="1"/>
  <c r="A64" i="16"/>
  <c r="A66" i="16"/>
  <c r="A67" i="16"/>
  <c r="A68" i="16"/>
  <c r="A70" i="16"/>
  <c r="A63" i="16"/>
  <c r="A1" i="87"/>
  <c r="A94" i="16"/>
  <c r="A8" i="16"/>
  <c r="A14" i="16"/>
  <c r="A13" i="16"/>
  <c r="A23" i="16"/>
  <c r="A24" i="16"/>
  <c r="A25" i="16"/>
  <c r="A26" i="16"/>
  <c r="A28" i="16"/>
  <c r="A30" i="16"/>
  <c r="A32" i="16"/>
  <c r="A35" i="16"/>
  <c r="A22" i="16"/>
  <c r="E63" i="16" l="1"/>
  <c r="G63" i="16"/>
  <c r="C63" i="16"/>
  <c r="D63" i="16"/>
  <c r="F63" i="16"/>
  <c r="C68" i="16"/>
  <c r="E68" i="16"/>
  <c r="G68" i="16"/>
  <c r="D68" i="16"/>
  <c r="F68" i="16"/>
  <c r="C66" i="16"/>
  <c r="M66" i="16" s="1"/>
  <c r="E66" i="16"/>
  <c r="G66" i="16"/>
  <c r="D66" i="16"/>
  <c r="F66" i="16"/>
  <c r="D70" i="16"/>
  <c r="F70" i="16"/>
  <c r="C70" i="16"/>
  <c r="E70" i="16"/>
  <c r="G70" i="16"/>
  <c r="D67" i="16"/>
  <c r="F67" i="16"/>
  <c r="C67" i="16"/>
  <c r="E67" i="16"/>
  <c r="G67" i="16"/>
  <c r="D64" i="16"/>
  <c r="F64" i="16"/>
  <c r="C64" i="16"/>
  <c r="E64" i="16"/>
  <c r="G64" i="16"/>
  <c r="G94" i="16" l="1"/>
  <c r="A60" i="16"/>
  <c r="F60" i="16" s="1"/>
  <c r="A59" i="16"/>
  <c r="G59" i="16" s="1"/>
  <c r="A58" i="16"/>
  <c r="A55" i="16"/>
  <c r="G55" i="16" s="1"/>
  <c r="A49" i="16"/>
  <c r="E49" i="16" s="1"/>
  <c r="A48" i="16"/>
  <c r="G48" i="16" s="1"/>
  <c r="A47" i="16"/>
  <c r="E47" i="16" s="1"/>
  <c r="A45" i="16"/>
  <c r="G45" i="16" s="1"/>
  <c r="A42" i="16"/>
  <c r="E42" i="16" s="1"/>
  <c r="A40" i="16"/>
  <c r="G40" i="16" s="1"/>
  <c r="E58" i="16" l="1"/>
  <c r="G58" i="16"/>
  <c r="D40" i="16"/>
  <c r="D45" i="16"/>
  <c r="D48" i="16"/>
  <c r="D55" i="16"/>
  <c r="D59" i="16"/>
  <c r="D94" i="16"/>
  <c r="E40" i="16"/>
  <c r="E45" i="16"/>
  <c r="E48" i="16"/>
  <c r="E55" i="16"/>
  <c r="E59" i="16"/>
  <c r="E94" i="16"/>
  <c r="F42" i="16"/>
  <c r="F49" i="16"/>
  <c r="F58" i="16"/>
  <c r="G47" i="16"/>
  <c r="C60" i="16"/>
  <c r="G60" i="16"/>
  <c r="F40" i="16"/>
  <c r="D42" i="16"/>
  <c r="F48" i="16"/>
  <c r="D49" i="16"/>
  <c r="F55" i="16"/>
  <c r="D58" i="16"/>
  <c r="D60" i="16"/>
  <c r="F94" i="16"/>
  <c r="F47" i="16"/>
  <c r="C42" i="16"/>
  <c r="G42" i="16"/>
  <c r="C47" i="16"/>
  <c r="C49" i="16"/>
  <c r="G49" i="16"/>
  <c r="C58" i="16"/>
  <c r="F45" i="16"/>
  <c r="D47" i="16"/>
  <c r="F59" i="16"/>
  <c r="C40" i="16"/>
  <c r="C45" i="16"/>
  <c r="C48" i="16"/>
  <c r="C55" i="16"/>
  <c r="C59" i="16"/>
  <c r="E60" i="16"/>
  <c r="C94" i="16"/>
  <c r="L58" i="16" l="1"/>
  <c r="A1" i="86"/>
  <c r="C30" i="16" l="1"/>
  <c r="A7" i="16"/>
  <c r="A9" i="16"/>
  <c r="A10" i="16"/>
  <c r="A5" i="16"/>
  <c r="A4" i="16"/>
  <c r="C80" i="16" l="1"/>
  <c r="F30" i="16"/>
  <c r="X17" i="1" s="1"/>
  <c r="E30" i="16"/>
  <c r="D30" i="16"/>
  <c r="G30" i="16"/>
  <c r="X16" i="1" s="1"/>
  <c r="C90" i="16"/>
  <c r="D90" i="16"/>
  <c r="E90" i="16"/>
  <c r="F90" i="16"/>
  <c r="G90" i="16"/>
  <c r="R16" i="1" l="1"/>
  <c r="T16" i="1" s="1"/>
  <c r="S16" i="1" s="1"/>
  <c r="M107" i="16" l="1"/>
  <c r="J96" i="16"/>
  <c r="K99" i="16"/>
  <c r="L95" i="16"/>
  <c r="J109" i="16"/>
  <c r="M118" i="16"/>
  <c r="C85" i="16"/>
  <c r="M85" i="16" s="1"/>
  <c r="J99" i="16" l="1"/>
  <c r="I96" i="16"/>
  <c r="M96" i="16"/>
  <c r="L99" i="16"/>
  <c r="K96" i="16"/>
  <c r="I95" i="16"/>
  <c r="M95" i="16"/>
  <c r="I99" i="16"/>
  <c r="M99" i="16"/>
  <c r="L96" i="16"/>
  <c r="J95" i="16"/>
  <c r="K95" i="16"/>
  <c r="K109" i="16"/>
  <c r="L109" i="16"/>
  <c r="I109" i="16"/>
  <c r="M109" i="16"/>
  <c r="J118" i="16"/>
  <c r="K118" i="16"/>
  <c r="I118" i="16"/>
  <c r="L118" i="16"/>
  <c r="L107" i="16"/>
  <c r="I107" i="16"/>
  <c r="J107" i="16"/>
  <c r="K107" i="16"/>
  <c r="D85" i="16"/>
  <c r="L85" i="16" s="1"/>
  <c r="G85" i="16"/>
  <c r="I85" i="16" s="1"/>
  <c r="F85" i="16"/>
  <c r="J85" i="16" s="1"/>
  <c r="E85" i="16"/>
  <c r="K85" i="16" s="1"/>
  <c r="C5" i="16"/>
  <c r="G9" i="16"/>
  <c r="C4" i="16"/>
  <c r="E13" i="16"/>
  <c r="C14" i="16"/>
  <c r="C8" i="16"/>
  <c r="D8" i="16"/>
  <c r="E8" i="16"/>
  <c r="F8" i="16"/>
  <c r="C10" i="16"/>
  <c r="D10" i="16"/>
  <c r="E10" i="16"/>
  <c r="F10" i="16"/>
  <c r="G10" i="16"/>
  <c r="C13" i="16"/>
  <c r="D13" i="16"/>
  <c r="F13" i="16"/>
  <c r="G13" i="16"/>
  <c r="D7" i="16"/>
  <c r="E7" i="16"/>
  <c r="F7" i="16"/>
  <c r="G7" i="16"/>
  <c r="C7" i="16"/>
  <c r="F9" i="16" l="1"/>
  <c r="E9" i="16"/>
  <c r="C9" i="16"/>
  <c r="D9" i="16"/>
  <c r="D32" i="16"/>
  <c r="E32" i="16"/>
  <c r="F32" i="16"/>
  <c r="C32" i="16"/>
  <c r="G32" i="16"/>
  <c r="D26" i="16"/>
  <c r="E26" i="16"/>
  <c r="F26" i="16"/>
  <c r="C26" i="16"/>
  <c r="G26" i="16"/>
  <c r="D22" i="16"/>
  <c r="G22" i="16"/>
  <c r="C22" i="16"/>
  <c r="F22" i="16"/>
  <c r="E22" i="16"/>
  <c r="K30" i="16"/>
  <c r="J30" i="16"/>
  <c r="M30" i="16"/>
  <c r="I30" i="16"/>
  <c r="L30" i="16"/>
  <c r="E25" i="16"/>
  <c r="F25" i="16"/>
  <c r="C25" i="16"/>
  <c r="G25" i="16"/>
  <c r="D25" i="16"/>
  <c r="F24" i="16"/>
  <c r="C24" i="16"/>
  <c r="G24" i="16"/>
  <c r="D24" i="16"/>
  <c r="E24" i="16"/>
  <c r="C35" i="16"/>
  <c r="G35" i="16"/>
  <c r="D35" i="16"/>
  <c r="E35" i="16"/>
  <c r="F35" i="16"/>
  <c r="C28" i="16"/>
  <c r="G28" i="16"/>
  <c r="D28" i="16"/>
  <c r="E28" i="16"/>
  <c r="F28" i="16"/>
  <c r="C23" i="16"/>
  <c r="G23" i="16"/>
  <c r="D23" i="16"/>
  <c r="E23" i="16"/>
  <c r="F23" i="16"/>
  <c r="G4" i="16"/>
  <c r="D4" i="16"/>
  <c r="E4" i="16"/>
  <c r="F4" i="16"/>
  <c r="G5" i="16"/>
  <c r="D5" i="16"/>
  <c r="E5" i="16"/>
  <c r="F5" i="16"/>
  <c r="F14" i="16"/>
  <c r="D14" i="16"/>
  <c r="G8" i="16"/>
  <c r="E14" i="16"/>
  <c r="G14" i="16"/>
  <c r="L64" i="16" l="1"/>
  <c r="L63" i="16"/>
  <c r="L4" i="16"/>
  <c r="A1" i="82"/>
  <c r="K42" i="16"/>
  <c r="L47" i="16"/>
  <c r="J49" i="16"/>
  <c r="E56" i="16"/>
  <c r="M39" i="16"/>
  <c r="X22" i="1" s="1"/>
  <c r="L22" i="16"/>
  <c r="I23" i="16"/>
  <c r="J24" i="16"/>
  <c r="K25" i="16"/>
  <c r="L26" i="16"/>
  <c r="L32" i="16"/>
  <c r="I35" i="16"/>
  <c r="L10" i="16"/>
  <c r="L11" i="16" s="1"/>
  <c r="M13" i="16"/>
  <c r="L14" i="16"/>
  <c r="K7" i="16"/>
  <c r="C69" i="16" l="1"/>
  <c r="M54" i="16"/>
  <c r="J68" i="16"/>
  <c r="J66" i="16"/>
  <c r="X32" i="1"/>
  <c r="D71" i="16"/>
  <c r="L72" i="16" s="1"/>
  <c r="I4" i="16"/>
  <c r="J4" i="16"/>
  <c r="K4" i="16"/>
  <c r="L66" i="16"/>
  <c r="M64" i="16"/>
  <c r="J64" i="16"/>
  <c r="K64" i="16"/>
  <c r="I64" i="16"/>
  <c r="I63" i="16"/>
  <c r="J63" i="16"/>
  <c r="K63" i="16"/>
  <c r="J35" i="16"/>
  <c r="K35" i="16"/>
  <c r="M35" i="16"/>
  <c r="N29" i="16" s="1"/>
  <c r="L35" i="16"/>
  <c r="L39" i="16"/>
  <c r="X23" i="1" s="1"/>
  <c r="J42" i="16"/>
  <c r="K49" i="16"/>
  <c r="I47" i="16"/>
  <c r="M47" i="16"/>
  <c r="I39" i="16"/>
  <c r="I40" i="16" s="1"/>
  <c r="M42" i="16"/>
  <c r="I42" i="16"/>
  <c r="L49" i="16"/>
  <c r="J47" i="16"/>
  <c r="J39" i="16"/>
  <c r="L42" i="16"/>
  <c r="I49" i="16"/>
  <c r="M49" i="16"/>
  <c r="K47" i="16"/>
  <c r="K39" i="16"/>
  <c r="X26" i="1"/>
  <c r="G56" i="16"/>
  <c r="C56" i="16"/>
  <c r="F56" i="16"/>
  <c r="D56" i="16"/>
  <c r="L13" i="16"/>
  <c r="J13" i="16"/>
  <c r="K13" i="16"/>
  <c r="K22" i="16"/>
  <c r="L23" i="16"/>
  <c r="M24" i="16"/>
  <c r="I24" i="16"/>
  <c r="J25" i="16"/>
  <c r="K26" i="16"/>
  <c r="J22" i="16"/>
  <c r="K23" i="16"/>
  <c r="L24" i="16"/>
  <c r="M25" i="16"/>
  <c r="I25" i="16"/>
  <c r="J26" i="16"/>
  <c r="M22" i="16"/>
  <c r="I22" i="16"/>
  <c r="J23" i="16"/>
  <c r="K24" i="16"/>
  <c r="L25" i="16"/>
  <c r="M26" i="16"/>
  <c r="I26" i="16"/>
  <c r="M23" i="16"/>
  <c r="J14" i="16"/>
  <c r="K14" i="16"/>
  <c r="M14" i="16"/>
  <c r="J10" i="16"/>
  <c r="J11" i="16" s="1"/>
  <c r="I10" i="16"/>
  <c r="I11" i="16" s="1"/>
  <c r="K10" i="16"/>
  <c r="K11" i="16" s="1"/>
  <c r="M10" i="16"/>
  <c r="M11" i="16" s="1"/>
  <c r="I14" i="16"/>
  <c r="I13" i="16"/>
  <c r="M7" i="16"/>
  <c r="L7" i="16"/>
  <c r="I7" i="16"/>
  <c r="J7" i="16"/>
  <c r="F69" i="16" l="1"/>
  <c r="J54" i="16"/>
  <c r="J70" i="16" s="1"/>
  <c r="D69" i="16"/>
  <c r="L54" i="16"/>
  <c r="E69" i="16"/>
  <c r="K54" i="16"/>
  <c r="G69" i="16"/>
  <c r="I54" i="16"/>
  <c r="I66" i="16"/>
  <c r="I68" i="16"/>
  <c r="X31" i="1"/>
  <c r="K68" i="16"/>
  <c r="K66" i="16"/>
  <c r="L68" i="16"/>
  <c r="M68" i="16"/>
  <c r="M70" i="16" s="1"/>
  <c r="M32" i="16"/>
  <c r="M53" i="16" s="1"/>
  <c r="C71" i="16"/>
  <c r="I65" i="16"/>
  <c r="N57" i="16"/>
  <c r="K32" i="16"/>
  <c r="E71" i="16"/>
  <c r="K72" i="16" s="1"/>
  <c r="I32" i="16"/>
  <c r="G71" i="16"/>
  <c r="J32" i="16"/>
  <c r="F71" i="16"/>
  <c r="J72" i="16" s="1"/>
  <c r="I76" i="16"/>
  <c r="M63" i="16"/>
  <c r="C17" i="16"/>
  <c r="I4" i="1" s="1"/>
  <c r="M4" i="16"/>
  <c r="I72" i="16" l="1"/>
  <c r="G72" i="16"/>
  <c r="L53" i="16"/>
  <c r="I70" i="16"/>
  <c r="I53" i="16"/>
  <c r="L70" i="16"/>
  <c r="J53" i="16"/>
  <c r="K53" i="16"/>
  <c r="K70" i="16"/>
  <c r="M72" i="16"/>
  <c r="N60" i="16"/>
  <c r="R286" i="82"/>
  <c r="Q286" i="82"/>
  <c r="P286" i="82"/>
  <c r="O286" i="82"/>
  <c r="O245" i="82"/>
  <c r="A123" i="16" l="1"/>
  <c r="C123" i="16" s="1"/>
  <c r="X35" i="1" s="1"/>
  <c r="U75" i="1" l="1"/>
  <c r="M4" i="1" s="1"/>
  <c r="B1" i="16" l="1"/>
  <c r="J9" i="16" l="1"/>
  <c r="M9" i="16"/>
  <c r="L9" i="16"/>
  <c r="K9" i="16"/>
  <c r="L105" i="16"/>
  <c r="J105" i="16"/>
  <c r="I105" i="16"/>
  <c r="K105" i="16"/>
  <c r="M105" i="16"/>
  <c r="D4" i="1"/>
  <c r="F43" i="1"/>
  <c r="G15" i="16" l="1"/>
  <c r="O1" i="1" s="1"/>
  <c r="I9" i="16"/>
  <c r="M52" i="16"/>
  <c r="K65" i="16"/>
  <c r="L65" i="16"/>
  <c r="L67" i="16" s="1"/>
  <c r="M65" i="16"/>
  <c r="M67" i="16" s="1"/>
  <c r="J65" i="16"/>
  <c r="J8" i="16" l="1"/>
  <c r="K8" i="16"/>
  <c r="L8" i="16"/>
  <c r="I8" i="16"/>
  <c r="M8" i="16"/>
  <c r="K122" i="16" l="1"/>
  <c r="L122" i="16"/>
  <c r="I122" i="16"/>
  <c r="M122" i="16"/>
  <c r="J122" i="16"/>
  <c r="Q54" i="1" l="1"/>
  <c r="Q28" i="1"/>
  <c r="M75" i="16" l="1"/>
  <c r="K101" i="16"/>
  <c r="M101" i="16"/>
  <c r="J101" i="16"/>
  <c r="L101" i="16"/>
  <c r="I101" i="16"/>
  <c r="I93" i="16" l="1"/>
  <c r="K93" i="16"/>
  <c r="L93" i="16"/>
  <c r="M93" i="16"/>
  <c r="J93" i="16"/>
  <c r="J119" i="16" l="1"/>
  <c r="I110" i="16" l="1"/>
  <c r="L110" i="16"/>
  <c r="M110" i="16"/>
  <c r="L40" i="16"/>
  <c r="J40" i="16"/>
  <c r="K40" i="16"/>
  <c r="X24" i="1"/>
  <c r="X25" i="1"/>
  <c r="X20" i="1"/>
  <c r="K110" i="16"/>
  <c r="J110" i="16"/>
  <c r="J111" i="16"/>
  <c r="I111" i="16"/>
  <c r="K111" i="16"/>
  <c r="M111" i="16"/>
  <c r="L111" i="16"/>
  <c r="M119" i="16"/>
  <c r="I119" i="16"/>
  <c r="K119" i="16"/>
  <c r="L119" i="16"/>
  <c r="N72" i="16"/>
  <c r="I19" i="16" l="1"/>
  <c r="I21" i="16"/>
  <c r="I38" i="16"/>
  <c r="X33" i="1"/>
  <c r="M40" i="16"/>
  <c r="F39" i="1"/>
  <c r="J67" i="16"/>
  <c r="K67" i="16"/>
  <c r="I67" i="16"/>
  <c r="L97" i="16"/>
  <c r="L123" i="16" s="1"/>
  <c r="J97" i="16"/>
  <c r="J123" i="16" s="1"/>
  <c r="K97" i="16"/>
  <c r="K123" i="16" s="1"/>
  <c r="M97" i="16"/>
  <c r="M123" i="16" s="1"/>
  <c r="I97" i="16"/>
  <c r="I123" i="16" s="1"/>
  <c r="I16" i="16"/>
  <c r="X12" i="1"/>
  <c r="L74" i="16"/>
  <c r="C19" i="16"/>
  <c r="X7" i="1" s="1"/>
  <c r="J74" i="16"/>
  <c r="K74" i="16"/>
  <c r="M74" i="16"/>
  <c r="K108" i="16"/>
  <c r="L108" i="16"/>
  <c r="I120" i="16"/>
  <c r="I121" i="16"/>
  <c r="J120" i="16"/>
  <c r="J121" i="16"/>
  <c r="J116" i="16"/>
  <c r="K121" i="16"/>
  <c r="K116" i="16"/>
  <c r="K120" i="16"/>
  <c r="I103" i="16"/>
  <c r="I102" i="16"/>
  <c r="J98" i="16"/>
  <c r="J103" i="16"/>
  <c r="J102" i="16"/>
  <c r="K98" i="16"/>
  <c r="K103" i="16"/>
  <c r="K102" i="16"/>
  <c r="L104" i="16"/>
  <c r="M104" i="16"/>
  <c r="M108" i="16"/>
  <c r="I108" i="16"/>
  <c r="J108" i="16"/>
  <c r="L120" i="16"/>
  <c r="L121" i="16"/>
  <c r="L116" i="16"/>
  <c r="M121" i="16"/>
  <c r="M116" i="16"/>
  <c r="M120" i="16"/>
  <c r="L103" i="16"/>
  <c r="L98" i="16"/>
  <c r="L102" i="16"/>
  <c r="M98" i="16"/>
  <c r="M103" i="16"/>
  <c r="M102" i="16"/>
  <c r="I104" i="16"/>
  <c r="J104" i="16"/>
  <c r="K104" i="16"/>
  <c r="X13" i="1"/>
  <c r="M61" i="16"/>
  <c r="X27" i="1"/>
  <c r="F48" i="1" s="1"/>
  <c r="L61" i="16"/>
  <c r="X28" i="1"/>
  <c r="B19" i="16" l="1"/>
  <c r="J114" i="16"/>
  <c r="K106" i="16"/>
  <c r="K113" i="16" s="1"/>
  <c r="L106" i="16"/>
  <c r="L113" i="16" s="1"/>
  <c r="J106" i="16"/>
  <c r="J113" i="16" s="1"/>
  <c r="M106" i="16"/>
  <c r="M113" i="16" s="1"/>
  <c r="I106" i="16"/>
  <c r="I113" i="16" s="1"/>
  <c r="E55" i="1"/>
  <c r="M114" i="16"/>
  <c r="I114" i="16"/>
  <c r="L114" i="16"/>
  <c r="K114" i="16"/>
  <c r="I74" i="16"/>
  <c r="X10" i="1"/>
  <c r="X11" i="1"/>
  <c r="L100" i="16"/>
  <c r="K100" i="16"/>
  <c r="M100" i="16"/>
  <c r="J100" i="16"/>
  <c r="I100" i="16"/>
  <c r="F24" i="1"/>
  <c r="K41" i="1" s="1"/>
  <c r="P41" i="1" s="1"/>
  <c r="K44" i="1"/>
  <c r="P44" i="1" s="1"/>
  <c r="K17" i="1"/>
  <c r="P17" i="1" s="1"/>
  <c r="F55" i="1" l="1"/>
  <c r="K22" i="1"/>
  <c r="P22" i="1" s="1"/>
  <c r="A17" i="47"/>
  <c r="X19" i="1"/>
  <c r="X18" i="1"/>
  <c r="F41" i="1" s="1"/>
  <c r="X29" i="1" l="1"/>
  <c r="A15" i="27"/>
  <c r="F44" i="1"/>
  <c r="X8" i="1"/>
  <c r="O2" i="1" s="1"/>
  <c r="T90" i="1"/>
  <c r="T19" i="1"/>
  <c r="T25" i="1"/>
  <c r="T28" i="1"/>
  <c r="T30" i="1"/>
  <c r="T32" i="1"/>
  <c r="T33" i="1"/>
  <c r="T35" i="1"/>
  <c r="T37" i="1"/>
  <c r="T39" i="1"/>
  <c r="T44" i="1"/>
  <c r="T45" i="1"/>
  <c r="T40" i="1"/>
  <c r="T41" i="1"/>
  <c r="T50" i="1"/>
  <c r="T51" i="1"/>
  <c r="T55" i="1"/>
  <c r="T59" i="1"/>
  <c r="T64" i="1"/>
  <c r="T65" i="1"/>
  <c r="T67" i="1"/>
  <c r="T68" i="1"/>
  <c r="T69" i="1"/>
  <c r="T70" i="1"/>
  <c r="T71" i="1"/>
  <c r="T73" i="1"/>
  <c r="T76" i="1"/>
  <c r="T77" i="1"/>
  <c r="T78" i="1"/>
  <c r="T82" i="1"/>
  <c r="T83" i="1"/>
  <c r="T86" i="1"/>
  <c r="T87" i="1"/>
  <c r="T93" i="1"/>
  <c r="X9" i="1"/>
  <c r="G24" i="1"/>
  <c r="C78" i="1" l="1"/>
  <c r="R24" i="1"/>
  <c r="T24" i="1" s="1"/>
  <c r="S24" i="1" s="1"/>
  <c r="P61" i="1"/>
  <c r="K20" i="1"/>
  <c r="P20" i="1" s="1"/>
  <c r="F27" i="1"/>
  <c r="L15" i="16"/>
  <c r="K15" i="16"/>
  <c r="J15" i="16"/>
  <c r="I15" i="16"/>
  <c r="M18" i="16"/>
  <c r="R47" i="1"/>
  <c r="T47" i="1" s="1"/>
  <c r="S47" i="1" s="1"/>
  <c r="E15" i="1"/>
  <c r="I58" i="16"/>
  <c r="J18" i="16"/>
  <c r="L19" i="16"/>
  <c r="K18" i="16"/>
  <c r="K27" i="16"/>
  <c r="K48" i="16"/>
  <c r="J19" i="16"/>
  <c r="K19" i="16"/>
  <c r="J58" i="16"/>
  <c r="I33" i="16"/>
  <c r="M21" i="16"/>
  <c r="X15" i="1"/>
  <c r="D66" i="1" s="1"/>
  <c r="K33" i="16"/>
  <c r="M19" i="16"/>
  <c r="F5" i="1"/>
  <c r="D15" i="30"/>
  <c r="D69" i="1"/>
  <c r="J16" i="16"/>
  <c r="X14" i="1"/>
  <c r="K16" i="16"/>
  <c r="M15" i="16"/>
  <c r="L18" i="16"/>
  <c r="F9" i="1"/>
  <c r="E11" i="1" s="1"/>
  <c r="J33" i="16"/>
  <c r="X42" i="1" l="1"/>
  <c r="K24" i="1"/>
  <c r="P24" i="1" s="1"/>
  <c r="K30" i="1"/>
  <c r="P30" i="1" s="1"/>
  <c r="R66" i="1"/>
  <c r="T66" i="1" s="1"/>
  <c r="P66" i="1"/>
  <c r="Q66" i="1" s="1"/>
  <c r="V20" i="1"/>
  <c r="K31" i="1"/>
  <c r="P31" i="1" s="1"/>
  <c r="D15" i="1"/>
  <c r="K36" i="1"/>
  <c r="P36" i="1" s="1"/>
  <c r="K11" i="1"/>
  <c r="P11" i="1" s="1"/>
  <c r="K36" i="16"/>
  <c r="J36" i="16"/>
  <c r="L33" i="16"/>
  <c r="G43" i="1"/>
  <c r="R43" i="1"/>
  <c r="S43" i="1" s="1"/>
  <c r="K21" i="16"/>
  <c r="K38" i="16"/>
  <c r="K50" i="16"/>
  <c r="K46" i="16"/>
  <c r="F32" i="1"/>
  <c r="D63" i="1"/>
  <c r="M36" i="16"/>
  <c r="I69" i="16"/>
  <c r="K58" i="16"/>
  <c r="N58" i="16" s="1"/>
  <c r="K61" i="16"/>
  <c r="F28" i="1"/>
  <c r="H15" i="50"/>
  <c r="M33" i="16"/>
  <c r="M38" i="16"/>
  <c r="F18" i="1"/>
  <c r="G18" i="1" s="1"/>
  <c r="R17" i="1" s="1"/>
  <c r="T17" i="1" s="1"/>
  <c r="S17" i="1" s="1"/>
  <c r="L38" i="16"/>
  <c r="L21" i="16"/>
  <c r="I36" i="16"/>
  <c r="L36" i="16"/>
  <c r="I27" i="16"/>
  <c r="I61" i="16"/>
  <c r="F50" i="1"/>
  <c r="K69" i="16"/>
  <c r="K31" i="16"/>
  <c r="G56" i="1"/>
  <c r="K55" i="1"/>
  <c r="L69" i="16"/>
  <c r="M16" i="16"/>
  <c r="E69" i="1"/>
  <c r="F71" i="1"/>
  <c r="J69" i="16"/>
  <c r="L31" i="16"/>
  <c r="L16" i="16"/>
  <c r="J61" i="16"/>
  <c r="J21" i="16"/>
  <c r="J38" i="16"/>
  <c r="G25" i="1"/>
  <c r="G27" i="1"/>
  <c r="I15" i="50"/>
  <c r="F21" i="1"/>
  <c r="E7" i="1"/>
  <c r="G9" i="1"/>
  <c r="R8" i="1" s="1"/>
  <c r="T8" i="1" s="1"/>
  <c r="S8" i="1" s="1"/>
  <c r="R10" i="1"/>
  <c r="T10" i="1" s="1"/>
  <c r="S10" i="1" s="1"/>
  <c r="E10" i="1"/>
  <c r="R9" i="1" s="1"/>
  <c r="T9" i="1" s="1"/>
  <c r="S9" i="1" s="1"/>
  <c r="V30" i="1" l="1"/>
  <c r="V24" i="1"/>
  <c r="V11" i="1"/>
  <c r="V36" i="1"/>
  <c r="V31" i="1"/>
  <c r="S66" i="1"/>
  <c r="G55" i="1"/>
  <c r="P56" i="1" s="1"/>
  <c r="R57" i="1"/>
  <c r="P57" i="1"/>
  <c r="R72" i="1"/>
  <c r="P72" i="1"/>
  <c r="R63" i="1"/>
  <c r="S63" i="1" s="1"/>
  <c r="P63" i="1"/>
  <c r="Q63" i="1" s="1"/>
  <c r="G21" i="1"/>
  <c r="R20" i="1" s="1"/>
  <c r="T20" i="1" s="1"/>
  <c r="S20" i="1" s="1"/>
  <c r="K35" i="1"/>
  <c r="P35" i="1" s="1"/>
  <c r="K10" i="1"/>
  <c r="P10" i="1" s="1"/>
  <c r="K46" i="1"/>
  <c r="P46" i="1" s="1"/>
  <c r="K19" i="1"/>
  <c r="P19" i="1" s="1"/>
  <c r="K45" i="1"/>
  <c r="P45" i="1" s="1"/>
  <c r="K18" i="1"/>
  <c r="P18" i="1" s="1"/>
  <c r="E32" i="1"/>
  <c r="K39" i="1"/>
  <c r="P39" i="1" s="1"/>
  <c r="K13" i="1"/>
  <c r="P13" i="1" s="1"/>
  <c r="I90" i="16"/>
  <c r="F33" i="1"/>
  <c r="J90" i="16"/>
  <c r="G32" i="1"/>
  <c r="R31" i="1" s="1"/>
  <c r="T31" i="1" s="1"/>
  <c r="S31" i="1" s="1"/>
  <c r="V41" i="1"/>
  <c r="V22" i="1"/>
  <c r="M69" i="16"/>
  <c r="G22" i="1"/>
  <c r="R61" i="1"/>
  <c r="M46" i="16"/>
  <c r="M48" i="16"/>
  <c r="M50" i="16"/>
  <c r="M62" i="16"/>
  <c r="J46" i="16"/>
  <c r="J48" i="16"/>
  <c r="J50" i="16"/>
  <c r="V17" i="1"/>
  <c r="V44" i="1"/>
  <c r="I50" i="16"/>
  <c r="I48" i="16"/>
  <c r="I46" i="16"/>
  <c r="C56" i="1"/>
  <c r="M41" i="16"/>
  <c r="E46" i="1" s="1"/>
  <c r="M27" i="16"/>
  <c r="D10" i="1" s="1"/>
  <c r="M31" i="16"/>
  <c r="L46" i="16"/>
  <c r="L50" i="16"/>
  <c r="L27" i="16"/>
  <c r="L41" i="16"/>
  <c r="J31" i="16"/>
  <c r="J27" i="16"/>
  <c r="J41" i="16"/>
  <c r="K41" i="16"/>
  <c r="L48" i="16"/>
  <c r="I31" i="16"/>
  <c r="G23" i="1"/>
  <c r="R23" i="1" l="1"/>
  <c r="T23" i="1" s="1"/>
  <c r="S23" i="1" s="1"/>
  <c r="R21" i="1"/>
  <c r="T21" i="1" s="1"/>
  <c r="S21" i="1" s="1"/>
  <c r="E30" i="1"/>
  <c r="F16" i="1"/>
  <c r="R15" i="1" s="1"/>
  <c r="T15" i="1" s="1"/>
  <c r="S15" i="1" s="1"/>
  <c r="V10" i="1"/>
  <c r="V45" i="1"/>
  <c r="V46" i="1"/>
  <c r="V19" i="1"/>
  <c r="R56" i="1"/>
  <c r="Q56" i="1" s="1"/>
  <c r="V18" i="1"/>
  <c r="T63" i="1"/>
  <c r="V35" i="1"/>
  <c r="T61" i="1"/>
  <c r="S61" i="1" s="1"/>
  <c r="Q61" i="1"/>
  <c r="T72" i="1"/>
  <c r="S72" i="1" s="1"/>
  <c r="Q72" i="1"/>
  <c r="T57" i="1"/>
  <c r="S57" i="1" s="1"/>
  <c r="Q57" i="1"/>
  <c r="R58" i="1"/>
  <c r="P58" i="1"/>
  <c r="V39" i="1"/>
  <c r="V13" i="1"/>
  <c r="K90" i="16"/>
  <c r="K91" i="16" s="1"/>
  <c r="I91" i="16"/>
  <c r="M90" i="16"/>
  <c r="M91" i="16" s="1"/>
  <c r="J91" i="16"/>
  <c r="L90" i="16"/>
  <c r="L91" i="16" s="1"/>
  <c r="R22" i="1"/>
  <c r="T22" i="1" s="1"/>
  <c r="S22" i="1" s="1"/>
  <c r="G30" i="1"/>
  <c r="F12" i="1"/>
  <c r="K6" i="1" s="1"/>
  <c r="D7" i="1"/>
  <c r="D72" i="1"/>
  <c r="D75" i="1"/>
  <c r="D6" i="1"/>
  <c r="R6" i="1" s="1"/>
  <c r="T6" i="1" s="1"/>
  <c r="S6" i="1" l="1"/>
  <c r="T56" i="1"/>
  <c r="S56" i="1" s="1"/>
  <c r="V6" i="1"/>
  <c r="G5" i="1"/>
  <c r="T58" i="1"/>
  <c r="S58" i="1" s="1"/>
  <c r="Q58" i="1"/>
  <c r="K37" i="1"/>
  <c r="P37" i="1" s="1"/>
  <c r="K12" i="1"/>
  <c r="P12" i="1" s="1"/>
  <c r="K32" i="1"/>
  <c r="P32" i="1" s="1"/>
  <c r="K8" i="1"/>
  <c r="P8" i="1" s="1"/>
  <c r="K9" i="1"/>
  <c r="P9" i="1" s="1"/>
  <c r="K33" i="1"/>
  <c r="P33" i="1" s="1"/>
  <c r="K7" i="1"/>
  <c r="P7" i="1" s="1"/>
  <c r="K34" i="1"/>
  <c r="P34" i="1" s="1"/>
  <c r="P52" i="1"/>
  <c r="G12" i="1"/>
  <c r="R11" i="1" s="1"/>
  <c r="T11" i="1" s="1"/>
  <c r="S11" i="1" s="1"/>
  <c r="F15" i="1"/>
  <c r="R14" i="1" s="1"/>
  <c r="T14" i="1" s="1"/>
  <c r="S14" i="1" s="1"/>
  <c r="F46" i="1"/>
  <c r="E13" i="1"/>
  <c r="F19" i="1"/>
  <c r="R18" i="1" s="1"/>
  <c r="T18" i="1" s="1"/>
  <c r="S18" i="1" s="1"/>
  <c r="E6" i="1"/>
  <c r="R7" i="1" s="1"/>
  <c r="T7" i="1" s="1"/>
  <c r="S7" i="1" s="1"/>
  <c r="E14" i="1"/>
  <c r="R13" i="1" s="1"/>
  <c r="T13" i="1" s="1"/>
  <c r="S13" i="1" s="1"/>
  <c r="H30" i="1"/>
  <c r="R29" i="1" s="1"/>
  <c r="T29" i="1" s="1"/>
  <c r="S29" i="1" s="1"/>
  <c r="V12" i="1" l="1"/>
  <c r="V37" i="1"/>
  <c r="V9" i="1"/>
  <c r="V32" i="1"/>
  <c r="V7" i="1"/>
  <c r="V8" i="1"/>
  <c r="P6" i="1"/>
  <c r="V34" i="1"/>
  <c r="V33" i="1"/>
  <c r="K42" i="1"/>
  <c r="P42" i="1" s="1"/>
  <c r="K25" i="1"/>
  <c r="P25" i="1" s="1"/>
  <c r="R12" i="1"/>
  <c r="T12" i="1" s="1"/>
  <c r="S12" i="1" s="1"/>
  <c r="R46" i="1"/>
  <c r="T46" i="1" s="1"/>
  <c r="S46" i="1" s="1"/>
  <c r="G46" i="1"/>
  <c r="V42" i="1" l="1"/>
  <c r="V25" i="1"/>
  <c r="B18" i="16"/>
  <c r="D57" i="1"/>
  <c r="F60" i="1" s="1"/>
  <c r="C59" i="1" l="1"/>
  <c r="K21" i="1"/>
  <c r="P21" i="1" s="1"/>
  <c r="K47" i="1"/>
  <c r="P47" i="1" s="1"/>
  <c r="B60" i="1"/>
  <c r="H57" i="1"/>
  <c r="H59" i="1"/>
  <c r="H58" i="1"/>
  <c r="R60" i="1" l="1"/>
  <c r="P60" i="1"/>
  <c r="Q60" i="1" s="1"/>
  <c r="Q75" i="1" s="1"/>
  <c r="V21" i="1"/>
  <c r="V47" i="1"/>
  <c r="K56" i="16"/>
  <c r="I56" i="16"/>
  <c r="J56" i="16"/>
  <c r="L56" i="16"/>
  <c r="F34" i="1"/>
  <c r="F37" i="1" l="1"/>
  <c r="K14" i="1"/>
  <c r="F35" i="1"/>
  <c r="R34" i="1" s="1"/>
  <c r="K40" i="1"/>
  <c r="S60" i="1"/>
  <c r="T60" i="1"/>
  <c r="M56" i="16"/>
  <c r="K48" i="1" l="1"/>
  <c r="T34" i="1"/>
  <c r="S34" i="1" s="1"/>
  <c r="P40" i="1"/>
  <c r="V40" i="1"/>
  <c r="P14" i="1"/>
  <c r="V14" i="1"/>
  <c r="K38" i="1"/>
  <c r="P38" i="1" s="1"/>
  <c r="K15" i="1"/>
  <c r="P15" i="1" s="1"/>
  <c r="G37" i="1"/>
  <c r="R36" i="1" s="1"/>
  <c r="T36" i="1" s="1"/>
  <c r="S36" i="1" s="1"/>
  <c r="K23" i="1"/>
  <c r="P23" i="1" s="1"/>
  <c r="G39" i="1"/>
  <c r="R38" i="1" s="1"/>
  <c r="T38" i="1" s="1"/>
  <c r="P48" i="1" l="1"/>
  <c r="V48" i="1"/>
  <c r="R75" i="1"/>
  <c r="T75" i="1"/>
  <c r="V38" i="1"/>
  <c r="V23" i="1"/>
  <c r="V15" i="1"/>
  <c r="G41" i="1"/>
  <c r="K43" i="1"/>
  <c r="P43" i="1" s="1"/>
  <c r="K16" i="1"/>
  <c r="P16" i="1" s="1"/>
  <c r="P28" i="1" s="1"/>
  <c r="S38" i="1"/>
  <c r="S75" i="1" s="1"/>
  <c r="K4" i="1" s="1"/>
  <c r="P54" i="1" l="1"/>
  <c r="P75" i="1" s="1"/>
  <c r="N4" i="1"/>
  <c r="V16" i="1"/>
  <c r="V27" i="1" s="1"/>
  <c r="V43" i="1"/>
  <c r="V53" i="1" s="1"/>
  <c r="C4" i="1" l="1"/>
  <c r="C3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Bob Adams</author>
  </authors>
  <commentList>
    <comment ref="E2" authorId="0" shapeId="0" xr:uid="{00000000-0006-0000-0100-000001000000}">
      <text>
        <r>
          <rPr>
            <sz val="10"/>
            <color indexed="81"/>
            <rFont val="Tahoma"/>
            <family val="2"/>
          </rPr>
          <t xml:space="preserve">1.  Type a ticker symbol in this cell.
2.  Press the Enter key
It may be necessary to allow the spreadsheet to be updated--look at the top of the spreadsheet.  The default setting for Excel is to not allow updating the information--an attempt by MS to keep nefarious information off your computer.
(You must be logged on to the Internet for the updating of data to take place.)
</t>
        </r>
      </text>
    </comment>
    <comment ref="D4" authorId="1" shapeId="0" xr:uid="{00000000-0006-0000-0100-000002000000}">
      <text>
        <r>
          <rPr>
            <sz val="10"/>
            <color indexed="81"/>
            <rFont val="Tahoma"/>
            <family val="2"/>
          </rPr>
          <t xml:space="preserve">Capitalization is based on total Sales.  
</t>
        </r>
      </text>
    </comment>
    <comment ref="K4" authorId="1" shapeId="0" xr:uid="{00000000-0006-0000-0100-000003000000}">
      <text>
        <r>
          <rPr>
            <sz val="11"/>
            <color indexed="81"/>
            <rFont val="Arial"/>
            <family val="2"/>
          </rPr>
          <t xml:space="preserve">    This summary number should only be used as a guide </t>
        </r>
        <r>
          <rPr>
            <b/>
            <sz val="11"/>
            <color indexed="81"/>
            <rFont val="Arial"/>
            <family val="2"/>
          </rPr>
          <t>when comparing competitors</t>
        </r>
        <r>
          <rPr>
            <sz val="11"/>
            <color indexed="81"/>
            <rFont val="Arial"/>
            <family val="2"/>
          </rPr>
          <t>.  It is not very useful if comparing companies in dissimiliar industries.  
    It results from a number assigned to each element in the analysis, and is highly subjective to my judgment.
   Generally, the higher the number the stronger the company.
    If this cell does not show a number, some portion of the data for this company is missing.  Several websites are used in gathering the data for this analysis and not all sites follow all companies.</t>
        </r>
        <r>
          <rPr>
            <sz val="8"/>
            <color indexed="81"/>
            <rFont val="Tahoma"/>
            <family val="2"/>
          </rPr>
          <t xml:space="preserve">
</t>
        </r>
      </text>
    </comment>
    <comment ref="F5" authorId="0" shapeId="0" xr:uid="{00000000-0006-0000-0100-000004000000}">
      <text>
        <r>
          <rPr>
            <sz val="10"/>
            <color indexed="81"/>
            <rFont val="Tahoma"/>
            <family val="2"/>
          </rPr>
          <t>If AR is rising, investigate.  Is the industry suffering the same type of increase?</t>
        </r>
      </text>
    </comment>
    <comment ref="D6" authorId="0" shapeId="0" xr:uid="{00000000-0006-0000-0100-000005000000}">
      <text>
        <r>
          <rPr>
            <sz val="10"/>
            <color indexed="81"/>
            <rFont val="Tahoma"/>
            <family val="2"/>
          </rPr>
          <t>How quickly are customers paying for goods received.  If a high number, there may be something wrong with the product.</t>
        </r>
      </text>
    </comment>
    <comment ref="K6" authorId="1" shapeId="0" xr:uid="{00000000-0006-0000-0100-000006000000}">
      <text>
        <r>
          <rPr>
            <b/>
            <sz val="10"/>
            <color indexed="81"/>
            <rFont val="Tahoma"/>
            <family val="2"/>
          </rPr>
          <t>To see more information pertaining to the Bullish Results in this column, match the line number associated with the comment with the number in the left-most column. (Bright yellow column)</t>
        </r>
        <r>
          <rPr>
            <sz val="8"/>
            <color indexed="81"/>
            <rFont val="Tahoma"/>
            <family val="2"/>
          </rPr>
          <t xml:space="preserve">
</t>
        </r>
      </text>
    </comment>
    <comment ref="V6" authorId="1" shapeId="0" xr:uid="{00000000-0006-0000-0100-000007000000}">
      <text>
        <r>
          <rPr>
            <b/>
            <sz val="10"/>
            <color indexed="81"/>
            <rFont val="Tahoma"/>
            <family val="2"/>
          </rPr>
          <t>To see more information pertaining to the Bullish Results, match the "Line" number in this columngo to the line number at the left. (First bright yellow column)</t>
        </r>
        <r>
          <rPr>
            <sz val="8"/>
            <color indexed="81"/>
            <rFont val="Tahoma"/>
            <family val="2"/>
          </rPr>
          <t xml:space="preserve">
</t>
        </r>
      </text>
    </comment>
    <comment ref="F9" authorId="0" shapeId="0" xr:uid="{00000000-0006-0000-0100-000008000000}">
      <text>
        <r>
          <rPr>
            <sz val="10"/>
            <color indexed="81"/>
            <rFont val="Tahoma"/>
            <family val="2"/>
          </rPr>
          <t xml:space="preserve">If increasing, is the increase related to a company product, or is there a slowdown in the industry?
</t>
        </r>
      </text>
    </comment>
    <comment ref="D10" authorId="0" shapeId="0" xr:uid="{00000000-0006-0000-0100-000009000000}">
      <text>
        <r>
          <rPr>
            <sz val="10"/>
            <color indexed="81"/>
            <rFont val="Tahoma"/>
            <family val="2"/>
          </rPr>
          <t xml:space="preserve">The best comparison is with other companies in the same industry.  This represents the time products sit on the shelf waiting to be sold.
</t>
        </r>
      </text>
    </comment>
    <comment ref="E15" authorId="0" shapeId="0" xr:uid="{00000000-0006-0000-0100-00000A000000}">
      <text>
        <r>
          <rPr>
            <sz val="10"/>
            <color indexed="81"/>
            <rFont val="Tahoma"/>
            <family val="2"/>
          </rPr>
          <t>If the Cost of Sales is increasing, Sales should increase too.</t>
        </r>
      </text>
    </comment>
    <comment ref="F18" authorId="0" shapeId="0" xr:uid="{00000000-0006-0000-0100-00000B000000}">
      <text>
        <r>
          <rPr>
            <sz val="10"/>
            <color indexed="81"/>
            <rFont val="Tahoma"/>
            <family val="2"/>
          </rPr>
          <t>If a company invests in a new plant or equipment, sales should increase once the plant/equipment is on line.  A decrease in PP&amp;E may not speak well for future growth of the company.
Look at the long term trend.  If the company has been spending heavily in the past few years, perhaps additional PP&amp;E expenditures are no longer necessary to provide a future need.
    Spending for PP&amp;E in a weak economy may indicate management is taking the long-term view, preparing to take market share when the economy improves.  You need to decide which is the case.</t>
        </r>
      </text>
    </comment>
    <comment ref="F21" authorId="0" shapeId="0" xr:uid="{00000000-0006-0000-0100-00000C000000}">
      <text>
        <r>
          <rPr>
            <sz val="9"/>
            <color indexed="81"/>
            <rFont val="Tahoma"/>
            <family val="2"/>
          </rPr>
          <t>If increasing, why?  Is the ROE (Sect. 2B of SSG) much higher than the interest rate the company has to pay on borrowed money?
If a company can borrow at a rate a few percentage points below the ROE, and debt isn't excessive, debt isn't necessarily bad.  Using other people's money to make more money is good management.</t>
        </r>
      </text>
    </comment>
    <comment ref="F24" authorId="0" shapeId="0" xr:uid="{00000000-0006-0000-0100-00000D000000}">
      <text>
        <r>
          <rPr>
            <sz val="10"/>
            <color indexed="81"/>
            <rFont val="Tahoma"/>
            <family val="2"/>
          </rPr>
          <t xml:space="preserve">Short-term debt is ignored because there is normally enough cash available to pay the short-term debt.
</t>
        </r>
      </text>
    </comment>
    <comment ref="F27" authorId="0" shapeId="0" xr:uid="{00000000-0006-0000-0100-00000E000000}">
      <text>
        <r>
          <rPr>
            <sz val="10"/>
            <color indexed="81"/>
            <rFont val="Tahoma"/>
            <family val="2"/>
          </rPr>
          <t>How many times does PreTax Profit exceed the interest paid on LT debt?  If less than 3, turn the page (find another company).  If less than 5 investigate -- Is the ROE (Sect. 2B of SSG) greater than the interest rate at which the company can borrow money?
If the company profits only exceed the payment on interest by 2-3 times, and there is a downturn in the market, the company may collapse.</t>
        </r>
      </text>
    </comment>
    <comment ref="K30" authorId="1" shapeId="0" xr:uid="{00000000-0006-0000-0100-00000F000000}">
      <text>
        <r>
          <rPr>
            <b/>
            <sz val="10"/>
            <color indexed="81"/>
            <rFont val="Tahoma"/>
            <family val="2"/>
          </rPr>
          <t xml:space="preserve">To see more information pertaining to the Bearish Results in this column, match the line number associated with the comment with the number in the left-most column. (Bright yellow column)
</t>
        </r>
        <r>
          <rPr>
            <sz val="8"/>
            <color indexed="81"/>
            <rFont val="Tahoma"/>
            <family val="2"/>
          </rPr>
          <t xml:space="preserve">
</t>
        </r>
      </text>
    </comment>
    <comment ref="V30" authorId="1" shapeId="0" xr:uid="{00000000-0006-0000-0100-000010000000}">
      <text>
        <r>
          <rPr>
            <b/>
            <sz val="10"/>
            <color indexed="81"/>
            <rFont val="Tahoma"/>
            <family val="2"/>
          </rPr>
          <t>To see more information pertaining to the Bearish Results, match the "Line" number in this columngo to the line number at the left. (First bright yellow column)</t>
        </r>
        <r>
          <rPr>
            <b/>
            <sz val="8"/>
            <color indexed="81"/>
            <rFont val="Tahoma"/>
            <family val="2"/>
          </rPr>
          <t xml:space="preserve">
</t>
        </r>
      </text>
    </comment>
    <comment ref="F32" authorId="0" shapeId="0" xr:uid="{00000000-0006-0000-0100-000011000000}">
      <text>
        <r>
          <rPr>
            <sz val="10"/>
            <color indexed="81"/>
            <rFont val="Tahoma"/>
            <family val="2"/>
          </rPr>
          <t xml:space="preserve">If increasing, why?  Small increases may represent employee options, which, if given to all employees is normally good.
</t>
        </r>
      </text>
    </comment>
    <comment ref="F39" authorId="0" shapeId="0" xr:uid="{00000000-0006-0000-0100-000012000000}">
      <text>
        <r>
          <rPr>
            <sz val="10"/>
            <color indexed="81"/>
            <rFont val="Tahoma"/>
            <family val="2"/>
          </rPr>
          <t>Free Cash flow is what's left over after all capital spending has been deducted.  A margin of 10 represents a reasonable return on your investment.
If less than 10, what are they doing with their cash, and is that a reasonable use of cash?
Free Cash flow Margin = Net Cash from Operations - PP&amp;E - Dividends / Revenues</t>
        </r>
      </text>
    </comment>
    <comment ref="F41" authorId="0" shapeId="0" xr:uid="{00000000-0006-0000-0100-000013000000}">
      <text>
        <r>
          <rPr>
            <sz val="10"/>
            <color indexed="81"/>
            <rFont val="Tahoma"/>
            <family val="2"/>
          </rPr>
          <t xml:space="preserve">    Free Cash flow is the Net Cash provided by Operations less Dividends, less Property Plant &amp; Equipment.
    It is cash which can be used for any purpose management wishes --   it's what is left over after all expenses are paid.  It could be used to pay down debt, buy back shares, or used for new equipment or manufacturing plant, etc.  
    If Free Cash flow is not greater than the 10 year Bond rate, what is the company doing with it's cash?  It may mean there won't have enough to pay future Dividends, or it may mean it has been spent cash on new equipment or a plant.  If so, you need to determine if there will be an increased future need for the product produced.
    If Accounts Receivable and/or Inventories are showing an increasing trend, perhaps a new plant or equipment is not needed, for example.  Look at more than one year to see the long-term trend.</t>
        </r>
      </text>
    </comment>
    <comment ref="E55" authorId="0" shapeId="0" xr:uid="{00000000-0006-0000-0100-000015000000}">
      <text>
        <r>
          <rPr>
            <sz val="9"/>
            <color indexed="81"/>
            <rFont val="Tahoma"/>
            <family val="2"/>
          </rPr>
          <t>Compares this year with last year.</t>
        </r>
        <r>
          <rPr>
            <sz val="8"/>
            <color indexed="81"/>
            <rFont val="Tahoma"/>
            <family val="2"/>
          </rPr>
          <t xml:space="preserve">
</t>
        </r>
      </text>
    </comment>
    <comment ref="F55" authorId="0" shapeId="0" xr:uid="{00000000-0006-0000-0100-000016000000}">
      <text>
        <r>
          <rPr>
            <sz val="9"/>
            <color indexed="81"/>
            <rFont val="Tahoma"/>
            <family val="2"/>
          </rPr>
          <t>Compares this year with last year.</t>
        </r>
        <r>
          <rPr>
            <sz val="8"/>
            <color indexed="81"/>
            <rFont val="Tahoma"/>
            <family val="2"/>
          </rPr>
          <t xml:space="preserve">
</t>
        </r>
      </text>
    </comment>
    <comment ref="D57" authorId="0" shapeId="0" xr:uid="{00000000-0006-0000-0100-000017000000}">
      <text>
        <r>
          <rPr>
            <sz val="10"/>
            <color indexed="81"/>
            <rFont val="Tahoma"/>
            <family val="2"/>
          </rPr>
          <t>This value represents the amount of cash purchased with each share of stock purchased, or held.  There is little risk in "cash", therefore the actual risk in each share of stock is the price per share less this amount.
If this represents 20% or more of the stock price, it is becoming significant.</t>
        </r>
      </text>
    </comment>
    <comment ref="E57" authorId="1" shapeId="0" xr:uid="{00000000-0006-0000-0100-000018000000}">
      <text>
        <r>
          <rPr>
            <sz val="8"/>
            <color indexed="81"/>
            <rFont val="Tahoma"/>
            <family val="2"/>
          </rPr>
          <t xml:space="preserve">This value represents the amount of cash purchased with each share of stock purchased, or held.  There is little risk in "cash", therefore the actual risk in each share of stock is the price per share less this amount.
If this represents 20% or more of the stock price, it is becoming significant.
</t>
        </r>
      </text>
    </comment>
    <comment ref="D63" authorId="0" shapeId="0" xr:uid="{00000000-0006-0000-0100-000019000000}">
      <text>
        <r>
          <rPr>
            <sz val="9"/>
            <color indexed="81"/>
            <rFont val="Tahoma"/>
            <family val="2"/>
          </rPr>
          <t>A fairly severe test of the financial well being of a company.  Anything better than 1 is considered acceptable.</t>
        </r>
        <r>
          <rPr>
            <sz val="8"/>
            <color indexed="81"/>
            <rFont val="Tahoma"/>
            <family val="2"/>
          </rPr>
          <t xml:space="preserve">
</t>
        </r>
      </text>
    </comment>
    <comment ref="D66" authorId="0" shapeId="0" xr:uid="{00000000-0006-0000-0100-00001A000000}">
      <text>
        <r>
          <rPr>
            <sz val="9"/>
            <color indexed="81"/>
            <rFont val="Tahoma"/>
            <family val="2"/>
          </rPr>
          <t>A test to determine if the company has enough Assets over Liabilities to continue their business without needing to borrow.</t>
        </r>
        <r>
          <rPr>
            <sz val="8"/>
            <color indexed="81"/>
            <rFont val="Tahoma"/>
            <family val="2"/>
          </rPr>
          <t xml:space="preserve">
</t>
        </r>
      </text>
    </comment>
    <comment ref="D69" authorId="0" shapeId="0" xr:uid="{00000000-0006-0000-0100-00001B000000}">
      <text>
        <r>
          <rPr>
            <sz val="9"/>
            <color indexed="81"/>
            <rFont val="Tahoma"/>
            <family val="2"/>
          </rPr>
          <t>Higher is better, but it is related to the Cost of Sales and Inventory.  Too high a ratio may indicate a problem in Cost of Sales and/or Inventory.</t>
        </r>
        <r>
          <rPr>
            <sz val="8"/>
            <color indexed="81"/>
            <rFont val="Tahoma"/>
            <family val="2"/>
          </rPr>
          <t xml:space="preserve">
</t>
        </r>
      </text>
    </comment>
    <comment ref="D72" authorId="0" shapeId="0" xr:uid="{00000000-0006-0000-0100-00001C000000}">
      <text>
        <r>
          <rPr>
            <sz val="9"/>
            <color indexed="81"/>
            <rFont val="Tahoma"/>
            <family val="2"/>
          </rPr>
          <t>If money is spent on PP&amp;E, Sales should increase.  Plants under construction should not be included in the total as one cannot expect something under construction to increase sales.</t>
        </r>
        <r>
          <rPr>
            <sz val="8"/>
            <color indexed="81"/>
            <rFont val="Tahoma"/>
            <family val="2"/>
          </rPr>
          <t xml:space="preserve">
</t>
        </r>
      </text>
    </comment>
    <comment ref="D75" authorId="0" shapeId="0" xr:uid="{00000000-0006-0000-0100-00001D000000}">
      <text>
        <r>
          <rPr>
            <sz val="9"/>
            <color indexed="81"/>
            <rFont val="Tahoma"/>
            <family val="2"/>
          </rPr>
          <t>This ratio represents how much you must invest to receive one dollar worth of sales.  Compare to companies in the same industry.</t>
        </r>
        <r>
          <rPr>
            <sz val="8"/>
            <color indexed="81"/>
            <rFont val="Tahoma"/>
            <family val="2"/>
          </rPr>
          <t xml:space="preserve">
$</t>
        </r>
        <r>
          <rPr>
            <sz val="9"/>
            <color indexed="81"/>
            <rFont val="Tahoma"/>
            <family val="2"/>
          </rPr>
          <t>1 or less is very good, and greater than $3 is considered quite high.</t>
        </r>
      </text>
    </comment>
    <comment ref="E79" authorId="1" shapeId="0" xr:uid="{4F954C71-77CC-4A05-9342-7314CBDFF654}">
      <text>
        <r>
          <rPr>
            <sz val="10"/>
            <color indexed="81"/>
            <rFont val="Tahoma"/>
            <family val="2"/>
          </rPr>
          <t>Compare the current price with the Intrinsic Value.  Though the calculations for Discounted Cash Flow and Intrinsic Value are different, The latter term is often used regardless of which calculation was used.  The term Intrinsic Value is sometimes used for either calculation.  
Click this link to a site where a ticker symbol can be entered and the "Fair Value" price will be found and displayed.
The greater the "Fair Value" exceeds the current price, the greater the percieved value of the share.  
Before Warren Buffett becomes interested in buying a company the current price must be at least 25% less than the Intrinsic Value.</t>
        </r>
      </text>
    </comment>
    <comment ref="D80" authorId="1" shapeId="0" xr:uid="{D6D17B0A-7F0E-4CD5-B0F3-11618E8B20D1}">
      <text>
        <r>
          <rPr>
            <sz val="10"/>
            <color indexed="81"/>
            <rFont val="Tahoma"/>
            <family val="2"/>
          </rPr>
          <t xml:space="preserve">Click on the link above, then type the Intrinsic Value in this cell.  </t>
        </r>
        <r>
          <rPr>
            <b/>
            <sz val="10"/>
            <color indexed="81"/>
            <rFont val="Tahoma"/>
            <family val="2"/>
          </rPr>
          <t>Example:  47.55</t>
        </r>
        <r>
          <rPr>
            <sz val="10"/>
            <color indexed="81"/>
            <rFont val="Tahoma"/>
            <family val="2"/>
          </rPr>
          <t xml:space="preserve">
  The discount (or overvalue) rate will be shown in the cell to the right.
</t>
        </r>
      </text>
    </comment>
    <comment ref="F82" authorId="1" shapeId="0" xr:uid="{CDD6F981-E244-465D-BF39-324DCD3D7B23}">
      <text>
        <r>
          <rPr>
            <sz val="10"/>
            <color indexed="81"/>
            <rFont val="Tahoma"/>
            <family val="2"/>
          </rPr>
          <t xml:space="preserve">Enter todays date as </t>
        </r>
        <r>
          <rPr>
            <b/>
            <sz val="10"/>
            <color indexed="81"/>
            <rFont val="Tahoma"/>
            <family val="2"/>
          </rPr>
          <t>MM-DD-YY</t>
        </r>
        <r>
          <rPr>
            <sz val="10"/>
            <color indexed="81"/>
            <rFont val="Tahoma"/>
            <family val="2"/>
          </rPr>
          <t xml:space="preserve">
If this date is not the same as todays date a warning will appear requesting you update Intrinsic Value.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description="10 year Treasury rate" type="4" refreshedVersion="8" background="1" refreshOnLoad="1" saveData="1">
    <webPr sourceData="1" parsePre="1" consecutive="1" xl2000="1" url="http://www.bankrate.com/rates/interest-rates/treasury.aspx?ec_id=m1108343&amp;s_kwcid=AL!1325!10!755415317!7018561280&amp;ef_id=VEqRkgAAAagJjRd7:20141024175838:s"/>
  </connection>
  <connection id="2" xr16:uid="{00000000-0015-0000-FFFF-FFFF01000000}" odcFile="C:\Users\Bob\AppData\Roaming\Microsoft\Queries\Zacks Ann cash-flow-statements.iqy" name="Zacks Ann cash-flow-statements1" type="4" refreshedVersion="8" background="1" refreshOnLoad="1" saveData="1">
    <webPr sourceData="1" parsePre="1" consecutive="1" xl2000="1" url="http://www.zacks.com/stock/quote/[&quot;symbol&quot;]/cash-flow-statements"/>
    <parameters count="1">
      <parameter name="symbol" parameterType="cell" refreshOnChange="1" cell="Analysis!$E$2"/>
    </parameters>
  </connection>
  <connection id="3" xr16:uid="{00000000-0015-0000-FFFF-FFFF02000000}" odcFile="C:\Users\Bob\AppData\Roaming\Microsoft\Queries\Zacks balance-sheet.iqy" name="Zacks balance-sheet" type="4" refreshedVersion="8" background="1" saveData="1">
    <webPr sourceData="1" parsePre="1" consecutive="1" xl2000="1" url="http://www.zacks.com/stock/quote/[&quot;Symbol&quot;]/balance-sheet"/>
    <parameters count="1">
      <parameter name="Symbol" parameterType="cell" refreshOnChange="1" cell="AnnBS!$A$1"/>
    </parameters>
  </connection>
  <connection id="4" xr16:uid="{00000000-0015-0000-FFFF-FFFF03000000}" odcFile="C:\Users\Bob\AppData\Roaming\Microsoft\Queries\Zacks income-statement.iqy" name="Zacks income-statement" type="4" refreshedVersion="8" background="1" saveData="1">
    <webPr sourceData="1" parsePre="1" consecutive="1" xl2000="1" url="http://www.zacks.com/stock/quote/[&quot;symbol&quot;]/income-statement"/>
    <parameters count="1">
      <parameter name="symbol" parameterType="cell" refreshOnChange="1" cell="Income!$A$1"/>
    </parameters>
  </connection>
</connections>
</file>

<file path=xl/sharedStrings.xml><?xml version="1.0" encoding="utf-8"?>
<sst xmlns="http://schemas.openxmlformats.org/spreadsheetml/2006/main" count="1999" uniqueCount="1131">
  <si>
    <t xml:space="preserve">If data does not update after entering a ticker symbol and pressing the Enter key, look above the top of the spreadsheet for a "Security Warning", shown here.   Click the Options box--a drop down menu will appear.  Click the "Enable this content" radio button, then OK.  These steps will be required each time the spreadsheet is opened.  It is possible to eliminate this step by authorizing all external data to be accessed but is not recommended as it opens your computer to the possibility of receiving destructive data. </t>
  </si>
  <si>
    <t>HOW TO USE THIS TOOL:  The data presented within this tool is comprehensive and can be overwhelming.  Therefore, I suggest using only portions of the information until you become more experienced with what the various data show.  The most simple approach is to read the "Bullish Results" and "Bearish Results" in those two boxes.  That verbiage will steer you to additional comments and numerical analysis at the left of the form--when you want to dive in deeper.  To the right of the remarks is a column containing numbers.  The numbers refer to line numbers, found on the extreme left which identify data the remarks are referring to.  Don't feel it's necessary to analyze all the data in this spreadsheet to aid in making decisions about a company.  Use the information that makes sense to you in each learning stage, taking more and more advantage of additional data as your learning experience expands.  The final step in using the data presented on this form are the graphs, accessed by clicking the small purple boxes adjacent to selected information.  (They are also available as tabs at the bottom of the spreadsheet.)  Verbiage explains what to look for on each graph.  Notice there are five year data as well as five quarter graphs--providing a display of long and short term information.</t>
  </si>
  <si>
    <t>Use the verbiage and the numerical result only as a guide in analyzing the company and as a comparison to companies in the same intistry.</t>
  </si>
  <si>
    <t>This form is offered without warranty.  If strange behavior is observed please contact me -- bob.at.seattle@gmail.com</t>
  </si>
  <si>
    <t>Avg. EPS growth</t>
  </si>
  <si>
    <t>Free Cash Flow</t>
  </si>
  <si>
    <t>Dividend per share</t>
  </si>
  <si>
    <r>
      <t xml:space="preserve">Cash flow per share should be greater than Capital Expenditures plus Dividends per share.  If Cash Flow is less than capital spending it's a </t>
    </r>
    <r>
      <rPr>
        <sz val="10"/>
        <color indexed="10"/>
        <rFont val="Arial"/>
        <family val="2"/>
      </rPr>
      <t>RED FLAG</t>
    </r>
    <r>
      <rPr>
        <sz val="10"/>
        <rFont val="Arial"/>
        <family val="2"/>
      </rPr>
      <t>.</t>
    </r>
  </si>
  <si>
    <t>Capital expenditures are generally not meaningful on a quarterly basis as it takes time for those types of expenditures to result in increased sales and profitablility.  Therefore no graphing of quarterly data is shown here.</t>
  </si>
  <si>
    <t>% difference-Net Earnings/Receivables</t>
  </si>
  <si>
    <t>Sales growth</t>
  </si>
  <si>
    <t xml:space="preserve">Asset Utilization </t>
  </si>
  <si>
    <t>Indicates if there is enough cash flow to cover the dividend</t>
  </si>
  <si>
    <t>Asset growth</t>
  </si>
  <si>
    <t>How well is management utilizing the assets--turning the assets into sales?  Is there consistency?  Compare the results with other companies to determine if any problem is with the company, industry, or market.</t>
  </si>
  <si>
    <t>How well is management utilizing the assets of the company--turning them into Revenues/Sales?</t>
  </si>
  <si>
    <t>This page shows year over year comparisons--see the graphs for 5 quarter and 5 year comparisons</t>
  </si>
  <si>
    <t>A ratio showing how many times a company's inventory is sold and replaced each period.  The higher the ratio the better. It indicates quality merchandise &amp; proper pricing.</t>
  </si>
  <si>
    <t>Current Ratio 2:1</t>
  </si>
  <si>
    <t>Quick Ratio 1:1</t>
  </si>
  <si>
    <t>(Operating Income/Revenue</t>
  </si>
  <si>
    <t>Ernings confidence rating</t>
  </si>
  <si>
    <t>Inventory Turover</t>
  </si>
  <si>
    <t>Bearish Results</t>
  </si>
  <si>
    <t>Bullish Results</t>
  </si>
  <si>
    <t>Watch the relationship between ROE, ROA and ROC, and debt.</t>
  </si>
  <si>
    <r>
      <t>ROE</t>
    </r>
    <r>
      <rPr>
        <sz val="10"/>
        <rFont val="Arial"/>
        <family val="2"/>
      </rPr>
      <t xml:space="preserve"> indicates how well the management is doing with the money it has now.  </t>
    </r>
    <r>
      <rPr>
        <b/>
        <sz val="10"/>
        <rFont val="Arial"/>
        <family val="2"/>
      </rPr>
      <t>ROA</t>
    </r>
    <r>
      <rPr>
        <sz val="10"/>
        <rFont val="Arial"/>
        <family val="2"/>
      </rPr>
      <t xml:space="preserve"> and </t>
    </r>
    <r>
      <rPr>
        <b/>
        <sz val="10"/>
        <rFont val="Arial"/>
        <family val="2"/>
      </rPr>
      <t>ROC</t>
    </r>
    <r>
      <rPr>
        <sz val="10"/>
        <rFont val="Arial"/>
        <family val="2"/>
      </rPr>
      <t xml:space="preserve"> indicate how well management is likely to do in the future with capital.  </t>
    </r>
  </si>
  <si>
    <t>Also compare PP&amp;E with Capital Expenditures as a Percentage of Sales--see the graphic below.</t>
  </si>
  <si>
    <t>[Net Income / Total Equity]</t>
  </si>
  <si>
    <t>This measurement of profitability includes debt--an important factor</t>
  </si>
  <si>
    <t>This measurement of profitability does not include debt--an important factor</t>
  </si>
  <si>
    <t>SEE</t>
  </si>
  <si>
    <t xml:space="preserve">Expect Sales to increase at or above the growth in Cost of Sales.    Also, if Property, Plant &amp; Equipment (PP&amp;E) is increasing Revenues should also increase.  PP&amp;E might trail Revenues a year or two if the money is being spent on new buildings, etc.--large projects.  Allow for completion time.  </t>
  </si>
  <si>
    <t>See www.Investopedia.com for item definitions</t>
  </si>
  <si>
    <r>
      <t xml:space="preserve">  The </t>
    </r>
    <r>
      <rPr>
        <b/>
        <sz val="9"/>
        <rFont val="Arial"/>
        <family val="2"/>
      </rPr>
      <t>quick ratio</t>
    </r>
    <r>
      <rPr>
        <sz val="9"/>
        <rFont val="Arial"/>
        <family val="2"/>
      </rPr>
      <t xml:space="preserve"> is more conservative than the </t>
    </r>
    <r>
      <rPr>
        <b/>
        <sz val="9"/>
        <rFont val="Arial"/>
        <family val="2"/>
      </rPr>
      <t>current ratio</t>
    </r>
    <r>
      <rPr>
        <sz val="9"/>
        <rFont val="Arial"/>
        <family val="2"/>
      </rPr>
      <t xml:space="preserve"> because it excludes inventory from current assets. Inventory is excluded because some companies have difficulty turning their inventory into cash. In the event that short-term obligations need to be paid off immediately, there are situations in which the </t>
    </r>
    <r>
      <rPr>
        <b/>
        <sz val="9"/>
        <rFont val="Arial"/>
        <family val="2"/>
      </rPr>
      <t>current ratio</t>
    </r>
    <r>
      <rPr>
        <sz val="9"/>
        <rFont val="Arial"/>
        <family val="2"/>
      </rPr>
      <t xml:space="preserve"> would overestimate a company's short-term financial strength.  If decreasing, the companie's financial position is weakening.</t>
    </r>
  </si>
  <si>
    <r>
      <t xml:space="preserve">Current Ratio </t>
    </r>
    <r>
      <rPr>
        <b/>
        <sz val="8"/>
        <rFont val="Times New Roman"/>
        <family val="1"/>
      </rPr>
      <t/>
    </r>
  </si>
  <si>
    <t>(also called Working Capital Ratio)</t>
  </si>
  <si>
    <t>[Total Assets - Inventories  / Total Liabilities]</t>
  </si>
  <si>
    <t>The cheaper the paper, the more valuable the information -- Peter Lynch</t>
  </si>
  <si>
    <r>
      <t>(</t>
    </r>
    <r>
      <rPr>
        <sz val="8"/>
        <color indexed="17"/>
        <rFont val="Times New Roman"/>
        <family val="1"/>
      </rPr>
      <t>Company</t>
    </r>
    <r>
      <rPr>
        <sz val="8"/>
        <color indexed="17"/>
        <rFont val="Times New Roman"/>
        <family val="1"/>
      </rPr>
      <t>)</t>
    </r>
  </si>
  <si>
    <t>Accounts Receivable</t>
  </si>
  <si>
    <t>Change:</t>
  </si>
  <si>
    <t>Accounts Receivable this year</t>
  </si>
  <si>
    <t>Accounts Receivable prior year</t>
  </si>
  <si>
    <t>Inventories current year</t>
  </si>
  <si>
    <t>Inventories prior year</t>
  </si>
  <si>
    <t>Inventories</t>
  </si>
  <si>
    <t>Total Current Assets</t>
  </si>
  <si>
    <t>This Yr. Total Property Plant &amp; Equip.</t>
  </si>
  <si>
    <t>Prior Yr. Total Property Plant &amp; Equip.</t>
  </si>
  <si>
    <t>Total Current Liabilities</t>
  </si>
  <si>
    <t>Sales or Revenues</t>
  </si>
  <si>
    <t>Long-term Debt this year</t>
  </si>
  <si>
    <t>Sales to Accts Receivable Ratio. . . . . . . . . . . . . .</t>
  </si>
  <si>
    <t>Long-term Debt prior year</t>
  </si>
  <si>
    <t xml:space="preserve">Sales to Inventories Ratio. . . . . . . . . . . . . . . . . . . </t>
  </si>
  <si>
    <t>Common Shares Outstanding this Yr.</t>
  </si>
  <si>
    <t>Common Shares Outstanding prior Yr.</t>
  </si>
  <si>
    <t>Plant &amp; Equipment</t>
  </si>
  <si>
    <t>Total Stockholders Equity</t>
  </si>
  <si>
    <t>(Sales should be increasing as fast or faster).</t>
  </si>
  <si>
    <t>Total Sales or Revenues this Year</t>
  </si>
  <si>
    <t>Long-term Debt</t>
  </si>
  <si>
    <t>Total Sales or Revenues prior Year</t>
  </si>
  <si>
    <t>Cost of Sales</t>
  </si>
  <si>
    <t>Income before Taxes</t>
  </si>
  <si>
    <t>Total Interest Coverage</t>
  </si>
  <si>
    <t>[Pretax Profit + Total Interest Paid / Total Interest Paid]</t>
  </si>
  <si>
    <t>Cash from Operating Activities per share</t>
  </si>
  <si>
    <t>Number of shares outstanding trend:</t>
  </si>
  <si>
    <t>Cash Position per Share:</t>
  </si>
  <si>
    <t xml:space="preserve">  Offers price support in falling market if positive.</t>
  </si>
  <si>
    <t>LT Debt to Equity Ratio:</t>
  </si>
  <si>
    <t>debt to equity.</t>
  </si>
  <si>
    <t>[Long-term Debt / Total Equity]</t>
  </si>
  <si>
    <t>Quick Ratio:</t>
  </si>
  <si>
    <t>to 1</t>
  </si>
  <si>
    <t>About 1:1 is normal.  The higher the better.</t>
  </si>
  <si>
    <t>About 2:1 is normal for manufacturer.  1:1 normal for Utilities.</t>
  </si>
  <si>
    <t>[Total Current Assets / Total Current Liabilities]</t>
  </si>
  <si>
    <t>Inventory Turnover Ratio:</t>
  </si>
  <si>
    <t>The higher the ratio the better. Indicates quality merchandise &amp; proper pricing.</t>
  </si>
  <si>
    <t>[Cost of Sales / Inventory]</t>
  </si>
  <si>
    <t>Plant Turnover Ratio:</t>
  </si>
  <si>
    <t>The higher the ratio the better.  If plant or equipment are added, sales should increase.</t>
  </si>
  <si>
    <t>(Sales / Prop. Plant &amp; Equip.)</t>
  </si>
  <si>
    <t>Price to Sales Ratio:</t>
  </si>
  <si>
    <t>Free Cash Flow Margin</t>
  </si>
  <si>
    <t>Be aware it takes time for a new plant to come on line and benefit sales.  Check to see what the funds for PP&amp;E were spent for.</t>
  </si>
  <si>
    <t>NOTE:  Ratios are more meaningful if compared to other companies in the same industry.</t>
  </si>
  <si>
    <t xml:space="preserve"> Inventory Turnover Days this year =</t>
  </si>
  <si>
    <t>Compare with other companies in the industry</t>
  </si>
  <si>
    <t>Danger</t>
  </si>
  <si>
    <t>Caution</t>
  </si>
  <si>
    <t>Good</t>
  </si>
  <si>
    <t>The lower the amount the better.  This is the amount invested for each dollar of sales. This ratio is Industry sensitive.</t>
  </si>
  <si>
    <t>Very Good</t>
  </si>
  <si>
    <t xml:space="preserve">Pretax exceeds interest X times </t>
  </si>
  <si>
    <t>Days waiting for payment this year=</t>
  </si>
  <si>
    <t>Days waiting for payment prior year=</t>
  </si>
  <si>
    <t>Some Background on this form:</t>
  </si>
  <si>
    <t>Also note the number of days Inventories are held before they become a product and sold (See "Inventories" above).</t>
  </si>
  <si>
    <t>Cost of Sales this Year</t>
  </si>
  <si>
    <t>Cost of Sales prior Year</t>
  </si>
  <si>
    <t>This Yr.-Net Cash provided by Operations</t>
  </si>
  <si>
    <t>Prior Yr. -Net Cash provided by Operations</t>
  </si>
  <si>
    <t>[Today's Price / Revenues per Share]</t>
  </si>
  <si>
    <t>[Curr. Yr. Shares/Prior Yr. Shares]</t>
  </si>
  <si>
    <t>You can't damage the spreadsheet, so have fun.</t>
  </si>
  <si>
    <t>Net Income</t>
  </si>
  <si>
    <t>This Yr. Net Income</t>
  </si>
  <si>
    <t>Prior Yr. Net Income</t>
  </si>
  <si>
    <t>[Free Cash Flow / Sales]</t>
  </si>
  <si>
    <t>[Net Cash / Shrs outstanding]</t>
  </si>
  <si>
    <t>Net Cash</t>
  </si>
  <si>
    <t>Compare - Net Income with Net Cash</t>
  </si>
  <si>
    <t>of dollars - except today's price</t>
  </si>
  <si>
    <t>Any number below 5 is worrisome.  A number below 3 is very worrisome</t>
  </si>
  <si>
    <t>[Cost of sales this year/Cost of sales prior year as a % change]</t>
  </si>
  <si>
    <t>INSTRUCTIONS:</t>
  </si>
  <si>
    <t xml:space="preserve"> per share in cash beyond debt.</t>
  </si>
  <si>
    <t xml:space="preserve">(The form is protected and does not allow the user to make changes to formulas, etc..  Therefore, as a user, you cannot make changes that will harm the form, or make it inoperative.)   </t>
  </si>
  <si>
    <t>The form was derived after reading what various authors recommended looking at when studying the Annual Report.  The authors I used are Peter Lynch, Warren Buffett, Benjamin Graham, and the NAIC Guide.  Therefore, the items studied in this form represent the same items recommended by these authors as study tools.</t>
  </si>
  <si>
    <t>NOTE:  If there are large changes in year to year results, check to see if acquisitions have skewed the results of the analysis</t>
  </si>
  <si>
    <t>Millions</t>
  </si>
  <si>
    <t>Gross Profit Margin</t>
  </si>
  <si>
    <t>This year=</t>
  </si>
  <si>
    <t>Prior Year=</t>
  </si>
  <si>
    <t>Note the color legend located on the lower left of the form.  Much of the verbiage and many cells will display these colors, depending upon the results of the analysis.  This form is somewhat the same as using the SSG.  You'll find some items indicating a positive direction, and others not.  Use these results as a help in guiding your decision.  It does not provide absolute answers.  There is no form, or method, that provides "yes" or "no" answers when dealing with the stock market.</t>
  </si>
  <si>
    <t>Capital Expenditures</t>
  </si>
  <si>
    <t>Total Assets</t>
  </si>
  <si>
    <t>Total Liabilities</t>
  </si>
  <si>
    <t xml:space="preserve">Total Interest Paid on Debt </t>
  </si>
  <si>
    <t>Cashflow</t>
  </si>
  <si>
    <t>(from Balance Sheet)</t>
  </si>
  <si>
    <t>(from Statement of Cash Flows)</t>
  </si>
  <si>
    <t>Thanks.</t>
  </si>
  <si>
    <t>Bob</t>
  </si>
  <si>
    <t>NOTE:  This analysis tool is designed for Retail and Manufacturing type industries.  If used with other industries the results will be less helpful.</t>
  </si>
  <si>
    <r>
      <t xml:space="preserve">Cash &amp; Cash Equivalents </t>
    </r>
    <r>
      <rPr>
        <sz val="9"/>
        <color indexed="10"/>
        <rFont val="Times New Roman"/>
        <family val="1"/>
      </rPr>
      <t xml:space="preserve"> </t>
    </r>
  </si>
  <si>
    <t>Cash flow should increase at the same rate as Sales - or greater</t>
  </si>
  <si>
    <t>Click here to return to the Analysis page</t>
  </si>
  <si>
    <t>Net Profit Margin</t>
  </si>
  <si>
    <t>divided by 5</t>
  </si>
  <si>
    <t xml:space="preserve">Return to Analysis Summary </t>
  </si>
  <si>
    <t>Inventory turnover Ratio</t>
  </si>
  <si>
    <t>Total Revenue/Total Inventory</t>
  </si>
  <si>
    <t>Annual Income Statement</t>
  </si>
  <si>
    <t>Annual Balance Sheet Data</t>
  </si>
  <si>
    <t>Gross Margin--Annual</t>
  </si>
  <si>
    <t>Revenues</t>
  </si>
  <si>
    <t>(Cash from Oper-PP&amp;E-Dividends)</t>
  </si>
  <si>
    <t xml:space="preserve">(Revenue-COGS)/Revenue </t>
  </si>
  <si>
    <t>Cash from Operations</t>
  </si>
  <si>
    <t xml:space="preserve">Quick Ratio </t>
  </si>
  <si>
    <t>Total Curr Assets/Total Curr Liabilities</t>
  </si>
  <si>
    <t>Current Ratio</t>
  </si>
  <si>
    <t>(Total Curr Ass-Inv)/Curr Liab</t>
  </si>
  <si>
    <r>
      <t>Quick Ratio</t>
    </r>
    <r>
      <rPr>
        <sz val="9"/>
        <rFont val="Arial"/>
        <family val="2"/>
      </rPr>
      <t xml:space="preserve"> is also known as the "acid-test ratio". It is an indicator of a company's short-term liquidity. The </t>
    </r>
    <r>
      <rPr>
        <b/>
        <sz val="9"/>
        <rFont val="Arial"/>
        <family val="2"/>
      </rPr>
      <t>quick ratio</t>
    </r>
    <r>
      <rPr>
        <sz val="9"/>
        <rFont val="Arial"/>
        <family val="2"/>
      </rPr>
      <t xml:space="preserve"> measures a company's ability to meet its short-term obligations with its most liquid assets. The higher the </t>
    </r>
    <r>
      <rPr>
        <b/>
        <sz val="9"/>
        <rFont val="Arial"/>
        <family val="2"/>
      </rPr>
      <t>quick ratio</t>
    </r>
    <r>
      <rPr>
        <sz val="9"/>
        <rFont val="Arial"/>
        <family val="2"/>
      </rPr>
      <t>, the better the position of the company.</t>
    </r>
  </si>
  <si>
    <r>
      <t>Current Ratio</t>
    </r>
    <r>
      <rPr>
        <sz val="10"/>
        <rFont val="Arial"/>
        <family val="2"/>
      </rPr>
      <t xml:space="preserve"> is also known as the "Liquidity Ratio".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If decreasing, the companie's financial position is weakening.
</t>
    </r>
  </si>
  <si>
    <t>Return on Assets (ROA)</t>
  </si>
  <si>
    <t>Return on Equity (ROE)</t>
  </si>
  <si>
    <t>ROA</t>
  </si>
  <si>
    <t>Net Income/Total Assets</t>
  </si>
  <si>
    <t>[Net Income / Total Assets]</t>
  </si>
  <si>
    <t>Return on Equity ROE</t>
  </si>
  <si>
    <t>If PP&amp;E is increasing markedly it may cause Free Cash Flow to decrease--even to the point of causing it to become negative.  The question to ask is:  What is the company spending it's cash on and will that expenditure likely result in increasing market share and sales?</t>
  </si>
  <si>
    <t>Cap expenditures as % of Sales</t>
  </si>
  <si>
    <t>It's the relationship between Revenues and the Cost of Revenues.  Stability and an increasing value is an indication of good management--an indication of efficient use of facilities and labor.</t>
  </si>
  <si>
    <t>Operating Margin</t>
  </si>
  <si>
    <t xml:space="preserve">     Operating Income / Sales</t>
  </si>
  <si>
    <r>
      <t xml:space="preserve">Gross Margin </t>
    </r>
    <r>
      <rPr>
        <sz val="10"/>
        <rFont val="Arial"/>
        <family val="2"/>
      </rPr>
      <t>is a company's total revenue, minus cost of goods sold divided by the total sales revenue, expressed as a percentage. The gross margin represents the percent of total sales revenue that the company retains after incurring the direct costs associated with producing the goods and services sold by a company. The higher the percentage, the more the company retains on each dollar of sales to service its other costs and obligations.</t>
    </r>
  </si>
  <si>
    <t>(Net Income/Revenue</t>
  </si>
  <si>
    <t>(from Statement of Earnings)</t>
  </si>
  <si>
    <r>
      <t>Net Profit Margin</t>
    </r>
    <r>
      <rPr>
        <sz val="10"/>
        <rFont val="Arial"/>
        <family val="2"/>
      </rPr>
      <t xml:space="preserve"> indicates how much profit a company makes on each dollar it generates in Revenues; again, a measurement of management..  </t>
    </r>
  </si>
  <si>
    <r>
      <t xml:space="preserve">Use extreme caution when </t>
    </r>
    <r>
      <rPr>
        <u/>
        <sz val="10"/>
        <rFont val="Arial"/>
        <family val="2"/>
      </rPr>
      <t>N</t>
    </r>
    <r>
      <rPr>
        <b/>
        <u/>
        <sz val="10"/>
        <rFont val="Arial"/>
        <family val="2"/>
      </rPr>
      <t>et Income</t>
    </r>
    <r>
      <rPr>
        <sz val="10"/>
        <rFont val="Arial"/>
        <family val="2"/>
      </rPr>
      <t xml:space="preserve"> exceeds </t>
    </r>
    <r>
      <rPr>
        <u/>
        <sz val="10"/>
        <rFont val="Arial"/>
        <family val="2"/>
      </rPr>
      <t>O</t>
    </r>
    <r>
      <rPr>
        <b/>
        <u/>
        <sz val="10"/>
        <rFont val="Arial"/>
        <family val="2"/>
      </rPr>
      <t>perating Cash Flow</t>
    </r>
    <r>
      <rPr>
        <b/>
        <sz val="10"/>
        <rFont val="Arial"/>
        <family val="2"/>
      </rPr>
      <t>.</t>
    </r>
  </si>
  <si>
    <t>ROC = Net Profit/(LT Debt+Equity)</t>
  </si>
  <si>
    <t>The annual data is a long-term look, which isn't as important as the quarterly data.  On the quarterly graph, compare the number of days waiting in the most recent quarter to the year ago quarter--i.e. compare the right side to the left side of the plotted data.  An increase of 3 or more days is considered a warning sign the company is loosening credit standards and allowing customers to take longer to pay for product.  However, if Sales are increasing at about the same rate (slope on the Sales graph below), a slight upward trend is not considered too serious.  Also, an acquision can cause the days waiting to increase.</t>
  </si>
  <si>
    <r>
      <t>Return on Assets</t>
    </r>
    <r>
      <rPr>
        <sz val="10"/>
        <rFont val="Arial"/>
        <family val="2"/>
      </rPr>
      <t xml:space="preserve"> (ROA) and </t>
    </r>
    <r>
      <rPr>
        <b/>
        <sz val="10"/>
        <rFont val="Arial"/>
        <family val="2"/>
      </rPr>
      <t>Return on Capital</t>
    </r>
    <r>
      <rPr>
        <sz val="10"/>
        <rFont val="Arial"/>
        <family val="2"/>
      </rPr>
      <t xml:space="preserve"> (ROC) are arguably better indicators of the profitability of a company, compared to </t>
    </r>
    <r>
      <rPr>
        <b/>
        <sz val="10"/>
        <rFont val="Arial"/>
        <family val="2"/>
      </rPr>
      <t>Return on Equity</t>
    </r>
    <r>
      <rPr>
        <sz val="10"/>
        <rFont val="Arial"/>
        <family val="2"/>
      </rPr>
      <t xml:space="preserve"> (ROE).  Both </t>
    </r>
    <r>
      <rPr>
        <b/>
        <sz val="10"/>
        <rFont val="Arial"/>
        <family val="2"/>
      </rPr>
      <t>ROA</t>
    </r>
    <r>
      <rPr>
        <sz val="10"/>
        <rFont val="Arial"/>
        <family val="2"/>
      </rPr>
      <t xml:space="preserve"> and </t>
    </r>
    <r>
      <rPr>
        <b/>
        <sz val="10"/>
        <rFont val="Arial"/>
        <family val="2"/>
      </rPr>
      <t>ROC</t>
    </r>
    <r>
      <rPr>
        <sz val="10"/>
        <rFont val="Arial"/>
        <family val="2"/>
      </rPr>
      <t xml:space="preserve"> include long term debt in the equation and </t>
    </r>
    <r>
      <rPr>
        <b/>
        <sz val="10"/>
        <rFont val="Arial"/>
        <family val="2"/>
      </rPr>
      <t>ROE</t>
    </r>
    <r>
      <rPr>
        <sz val="10"/>
        <rFont val="Arial"/>
        <family val="2"/>
      </rPr>
      <t xml:space="preserve"> does not.  Thus, </t>
    </r>
    <r>
      <rPr>
        <b/>
        <sz val="10"/>
        <rFont val="Arial"/>
        <family val="2"/>
      </rPr>
      <t>ROA</t>
    </r>
    <r>
      <rPr>
        <sz val="10"/>
        <rFont val="Arial"/>
        <family val="2"/>
      </rPr>
      <t xml:space="preserve"> and </t>
    </r>
    <r>
      <rPr>
        <b/>
        <sz val="10"/>
        <rFont val="Arial"/>
        <family val="2"/>
      </rPr>
      <t>ROC</t>
    </r>
    <r>
      <rPr>
        <sz val="10"/>
        <rFont val="Arial"/>
        <family val="2"/>
      </rPr>
      <t xml:space="preserve"> provide a more true picture.  Debt increases </t>
    </r>
    <r>
      <rPr>
        <b/>
        <sz val="10"/>
        <rFont val="Arial"/>
        <family val="2"/>
      </rPr>
      <t>ROE</t>
    </r>
    <r>
      <rPr>
        <sz val="10"/>
        <rFont val="Arial"/>
        <family val="2"/>
      </rPr>
      <t xml:space="preserve">.  How? -- The use of debt lowers equity, and if equity is lowered more than net income, </t>
    </r>
    <r>
      <rPr>
        <b/>
        <sz val="10"/>
        <rFont val="Arial"/>
        <family val="2"/>
      </rPr>
      <t>ROE</t>
    </r>
    <r>
      <rPr>
        <sz val="10"/>
        <rFont val="Arial"/>
        <family val="2"/>
      </rPr>
      <t xml:space="preserve"> will increase.  On the other hand, </t>
    </r>
    <r>
      <rPr>
        <b/>
        <sz val="10"/>
        <rFont val="Arial"/>
        <family val="2"/>
      </rPr>
      <t>ROA and ROC are</t>
    </r>
    <r>
      <rPr>
        <sz val="10"/>
        <rFont val="Arial"/>
        <family val="2"/>
      </rPr>
      <t xml:space="preserve"> lowered by debt--the interest expense lowers net income, which lowers </t>
    </r>
    <r>
      <rPr>
        <b/>
        <sz val="10"/>
        <rFont val="Arial"/>
        <family val="2"/>
      </rPr>
      <t>ROA and ROC</t>
    </r>
    <r>
      <rPr>
        <sz val="10"/>
        <rFont val="Arial"/>
        <family val="2"/>
      </rPr>
      <t xml:space="preserve">.  </t>
    </r>
  </si>
  <si>
    <r>
      <t xml:space="preserve">Both ROA and ROC </t>
    </r>
    <r>
      <rPr>
        <sz val="10"/>
        <rFont val="Arial"/>
        <family val="2"/>
      </rPr>
      <t xml:space="preserve">can be used an the </t>
    </r>
    <r>
      <rPr>
        <u/>
        <sz val="10"/>
        <rFont val="Arial"/>
        <family val="2"/>
      </rPr>
      <t>Implied Growth Rate</t>
    </r>
    <r>
      <rPr>
        <sz val="10"/>
        <rFont val="Arial"/>
        <family val="2"/>
      </rPr>
      <t xml:space="preserve">--a realistic growth rate expected in the next few years. Normally </t>
    </r>
    <r>
      <rPr>
        <b/>
        <sz val="10"/>
        <rFont val="Arial"/>
        <family val="2"/>
      </rPr>
      <t xml:space="preserve">ROA </t>
    </r>
    <r>
      <rPr>
        <sz val="10"/>
        <rFont val="Arial"/>
        <family val="2"/>
      </rPr>
      <t>is a little more conservative as a projected growth rate.</t>
    </r>
  </si>
  <si>
    <t>See Graph 6 for the reasons why</t>
  </si>
  <si>
    <t xml:space="preserve">If Receivables is going up, customers aren't paying their bills.  But if Revenue is also going up Receivables will likely go up also--and Inventories as well.  If either goes up faster than Revenues however, that's a danger signal. All three are expected to more or less act in concert.  </t>
  </si>
  <si>
    <t>Earnings Confidence Rating</t>
  </si>
  <si>
    <t>The higher the number the better, but watch the trend also.  This rating is most useful when compared to other companies, particularly those in the same industry.</t>
  </si>
  <si>
    <t>NOTE:  Ratios are more meaningful if compared to other companies in the same industry.  See below for competitors.</t>
  </si>
  <si>
    <t>Revenue % change</t>
  </si>
  <si>
    <t>Total Assets % change</t>
  </si>
  <si>
    <t>2a</t>
  </si>
  <si>
    <t>Return to Analysis Summary</t>
  </si>
  <si>
    <t xml:space="preserve">ANALYZING THE ANNUAL REPORT </t>
  </si>
  <si>
    <r>
      <t>Look at the Cashflow statement under Operating Activities to see what the company is using it's money for.  Look at Inventories and Receivables; if rising, products may not be properly priced or being returned by customers.  See Graph-1</t>
    </r>
    <r>
      <rPr>
        <sz val="10"/>
        <rFont val="Courier"/>
        <family val="3"/>
      </rPr>
      <t xml:space="preserve"> </t>
    </r>
  </si>
  <si>
    <t xml:space="preserve">If Cash from Operations is declining or falls faster than Net Cashflow Income, it's a very serious situation.  The company will need to raise capital to stay in business--through borrowing or issuing new shares.  If Net Cash from Operations becomes negative, it means the company is spending it's cash to stay in business. </t>
  </si>
  <si>
    <t>5a</t>
  </si>
  <si>
    <t>if error(line 7, use line 8</t>
  </si>
  <si>
    <t>Profitability on Revenues</t>
  </si>
  <si>
    <t>Quarterly Gross Margin</t>
  </si>
  <si>
    <t xml:space="preserve">Quarterly data provides a more timely look at the same data.  Declining Margins are particularly troubling and can be an indicator of future problems.  Compare the Margins of this company with its peers and the market in general.  </t>
  </si>
  <si>
    <t>10 Year Note rate</t>
  </si>
  <si>
    <t xml:space="preserve">The graph to the right indicates the number of days waiting for customers to pay for sold merchandise, and how long inventory is sitting on the shelf unsold.  Less than 60 days is good and less than 45 days is suburb.  Look for any change in the upward direction of either or both data, indicating a problem with the product or pricing.   </t>
  </si>
  <si>
    <t>Total Interest Coverage is:</t>
  </si>
  <si>
    <t xml:space="preserve">If Long Term Debt is increasing, what is management doing with the money to increase the growth of the company?  Can the company borrow at a rate less than the Return on Equity?  If not, it's a double whammy to borrow.  If the Total Interest Coverage is less than 5, worry.  If less than 3, consider a sell.  Large Total Interest Coverage numbers don't mean too much.  It's the small number you want to pay attention to.  </t>
  </si>
  <si>
    <t>Change from prior year</t>
  </si>
  <si>
    <r>
      <t xml:space="preserve">The </t>
    </r>
    <r>
      <rPr>
        <b/>
        <sz val="10"/>
        <rFont val="Arial"/>
        <family val="2"/>
      </rPr>
      <t>operating profit margin</t>
    </r>
    <r>
      <rPr>
        <sz val="10"/>
        <rFont val="Arial"/>
        <family val="2"/>
      </rPr>
      <t xml:space="preserve"> shows how successful a company’s management has been in generating income from the operation of its core business.  Net income is the money that's left over after all other expenses have been paid.  It indicates how effectively management runs the company. </t>
    </r>
  </si>
  <si>
    <r>
      <t xml:space="preserve">What to look for:  </t>
    </r>
    <r>
      <rPr>
        <sz val="10"/>
        <rFont val="Arial"/>
        <family val="2"/>
      </rPr>
      <t>To get a better picture when looking at margins, always compare a company to its peers and industry average.  (The Analysis section of this form shows year over year short term comparisons in the "Competitors" area as well as competing companies.)</t>
    </r>
  </si>
  <si>
    <t>See graph 6 for the reasons why</t>
  </si>
  <si>
    <t>Cap Exp per share</t>
  </si>
  <si>
    <t>3a</t>
  </si>
  <si>
    <t xml:space="preserve">The Quarterly Gross Margin reveals the profitability of a company.  The numerical value is important if used to compare companies in the same industry only.  The trend, however, is comparable regardless of the industry. A decreasing trend can be a warning of profitability problems at the present, as well as in the future.  Why is it decreasing?  </t>
  </si>
  <si>
    <t>Fiscal Year End date:</t>
  </si>
  <si>
    <t>Earnings Yield - compare to yield on 10 year Note</t>
  </si>
  <si>
    <r>
      <t xml:space="preserve">Return on free cash flow - </t>
    </r>
    <r>
      <rPr>
        <sz val="10"/>
        <rFont val="Times New Roman"/>
        <family val="1"/>
      </rPr>
      <t>compare to yield on 10 year Note</t>
    </r>
  </si>
  <si>
    <t>[Sales - Cost of Sales / Sales]</t>
  </si>
  <si>
    <t>formula from Investopedia</t>
  </si>
  <si>
    <t>(Curr. Yr. PreTax + Depreciation - Taxes / Prior Yr. PreTax + Depreciation - Taxes]</t>
  </si>
  <si>
    <t>Days waiting for payment</t>
  </si>
  <si>
    <t>Days waiting for payment--Receivables</t>
  </si>
  <si>
    <t>1a</t>
  </si>
  <si>
    <t xml:space="preserve">Days waiting for payment is an indication of how loose the company is allowing credit terms to customers to become when paying for product purchases.  An upward slope is not desired--unless Sales are also increasing at approximately the same rate. Compare the graphs below, both annual and quarterly, to discern those trends.  The number of days waiting is industry sensitive.  It's wise to compare companies with their competitors to determine how well your company is doing.  </t>
  </si>
  <si>
    <t>If data are incomplete or you receive an error message of any type when using the form, please check my website for an updated spreadsheet.  This tool relies on websites that are open and offer free data.  They change their site on occasion, causing the automatic download of data feature to stop working.  I normally correct the problem within a few days of becoming aware.  If you notice strange behavior please email me:  bob.at.seattle@gmail.com</t>
  </si>
  <si>
    <t>Quality of Earnings Ratio</t>
  </si>
  <si>
    <t>Operating Cash flow Change</t>
  </si>
  <si>
    <t>ratio: Dividends to Cash from Operations</t>
  </si>
  <si>
    <t>INDEX('Bal sheet'!$A$3:$M$61,MATCH("",'Bal sheet'!$A$3:$A$65,0),2)</t>
  </si>
  <si>
    <t>INDEX($A$2:$f$65,MATCH("",$A$2:$A$65,0),2)</t>
  </si>
  <si>
    <t>Total assets</t>
  </si>
  <si>
    <t>Yellow cell contains data</t>
  </si>
  <si>
    <t>The comparison of these two data are very important and revealing.</t>
  </si>
  <si>
    <t>10 Year Note Yield =</t>
  </si>
  <si>
    <t>Earnings Yield should exceed 10 year Note yield by at least 2%</t>
  </si>
  <si>
    <t>Retained Earnings</t>
  </si>
  <si>
    <t>Qtr Shares Outstanding</t>
  </si>
  <si>
    <t>Qtr Cap Expenditures/Sales</t>
  </si>
  <si>
    <t>Div.+ Cap Expense/share</t>
  </si>
  <si>
    <t>Q Debt</t>
  </si>
  <si>
    <t>Convert from negative number</t>
  </si>
  <si>
    <r>
      <t xml:space="preserve">1.  Type a company ticker symbol in the cell with a </t>
    </r>
    <r>
      <rPr>
        <b/>
        <sz val="10"/>
        <color indexed="48"/>
        <rFont val="Arial Black"/>
        <family val="2"/>
      </rPr>
      <t>blue background</t>
    </r>
    <r>
      <rPr>
        <b/>
        <sz val="10"/>
        <rFont val="Arial Black"/>
        <family val="2"/>
      </rPr>
      <t xml:space="preserve"> and press the Enter key.</t>
    </r>
  </si>
  <si>
    <t>Treasury Stock</t>
  </si>
  <si>
    <t>Other Current Assets</t>
  </si>
  <si>
    <t>Other Current Liabilities</t>
  </si>
  <si>
    <t>Period Ending:</t>
  </si>
  <si>
    <t>Balance Sheet</t>
  </si>
  <si>
    <t>Home</t>
  </si>
  <si>
    <t>ETFs</t>
  </si>
  <si>
    <t>Preferred Stock</t>
  </si>
  <si>
    <t>Contact Us</t>
  </si>
  <si>
    <t xml:space="preserve">Dividend to Cash from Operations ratio </t>
  </si>
  <si>
    <t>Is there sufficient Cash Flow to pay the Dividend if one is paid?  If Cash Flow from Operations drops to a value close to or below the Dividends paid, the Dividend is in danger of being cut. The chart is showing Annual data, which is a broad look at the data.  Quarterly data is not available for comparison.</t>
  </si>
  <si>
    <t>Dividends Per Share</t>
  </si>
  <si>
    <t>Debt to Equity</t>
  </si>
  <si>
    <t xml:space="preserve">  Marketable Securities</t>
  </si>
  <si>
    <t>Shares</t>
  </si>
  <si>
    <t>Treasury securities</t>
  </si>
  <si>
    <t>Investors and those following the movement of interest rates look at the movement of Treasury yields as an indicator of things to come. Their rates are considered an important benchmark: Because Treasury securities are backed by the full faith and credit of the U.S. Treasury, they represent the rate at which investment is considered risk-free.</t>
  </si>
  <si>
    <t>Click on the links below to find a fuller explanation of the term.</t>
  </si>
  <si>
    <t>One-Year Treasury Constant Maturity</t>
  </si>
  <si>
    <t>91-day T-bill auction avg disc rate</t>
  </si>
  <si>
    <t>182-day T-bill auction avg disc rate</t>
  </si>
  <si>
    <t>Two-Year Treasury Constant Maturity</t>
  </si>
  <si>
    <t>Five-Year Treasury Constant Maturity</t>
  </si>
  <si>
    <t>Ten-Year Treasury Constant Maturity</t>
  </si>
  <si>
    <t>One-Year CMT (Monthly)</t>
  </si>
  <si>
    <t>One-Year MTA</t>
  </si>
  <si>
    <t>Since investors in riskier investments command a higher return as compensation, the yields on many bonds and money market instruments are priced at a spread over the corresponding risk-free Treasury rate. Yields on money markets and certificates of deposit are often priced relative to yields on Treasuries of a similar length. Adjustable rate mortgages can be indexed to the one-year Treasury. Fixed mortgage rates are closely linked to movements in long-term Treasury yields, as mortgages are often packaged together and sold as mortgage-backed bonds. Yields on short-term Treasuries can behave differently from yields on longer-term Treasuries.</t>
  </si>
  <si>
    <t>15 year fixed refi</t>
  </si>
  <si>
    <t>15 year fixed</t>
  </si>
  <si>
    <t>30 year fixed refi</t>
  </si>
  <si>
    <t>30 year fixed</t>
  </si>
  <si>
    <t>30 year FHA</t>
  </si>
  <si>
    <t>5/1 ARM</t>
  </si>
  <si>
    <t>7/1 ARM</t>
  </si>
  <si>
    <t>5/1 ARM (IO)</t>
  </si>
  <si>
    <t>http://www.bankrate.com/rates/interest-rates/treasury.aspx?ec_id=m1108343&amp;s_kwcid=AL!1325!10!755415317!7018561280&amp;ef_id=VEqRkgAAAagJjRd7:20141024175838:s</t>
  </si>
  <si>
    <t>Total Dividend</t>
  </si>
  <si>
    <t xml:space="preserve">  Normal Long-term Debt -- Less than 25%.</t>
  </si>
  <si>
    <t>Div to Cash from Operations</t>
  </si>
  <si>
    <r>
      <t xml:space="preserve">Comparing Revenues with Total Assets indicates how well management is utilizing the assets of the company to turn them into sales.  Watch the relationship between the two values.  If Total Assets is growing faster than Revenues it may signal that management is taking on more debt.  </t>
    </r>
    <r>
      <rPr>
        <i/>
        <sz val="10"/>
        <rFont val="Arial"/>
        <family val="2"/>
      </rPr>
      <t xml:space="preserve">Check the debt--see </t>
    </r>
    <r>
      <rPr>
        <b/>
        <i/>
        <sz val="10"/>
        <color indexed="61"/>
        <rFont val="Arial"/>
        <family val="2"/>
      </rPr>
      <t>Graph 3a</t>
    </r>
    <r>
      <rPr>
        <sz val="10"/>
        <color indexed="61"/>
        <rFont val="Arial"/>
        <family val="2"/>
      </rPr>
      <t>.</t>
    </r>
  </si>
  <si>
    <t>PP&amp;E per share</t>
  </si>
  <si>
    <t>Q TotalNet Income</t>
  </si>
  <si>
    <t>Change in Assets growth</t>
  </si>
  <si>
    <t>SOME SUGGESTIONS IN USING THE TOOL:  (It's a little intiminating at first glance.)</t>
  </si>
  <si>
    <t>Note the yellow "SEE"column of numbers to the right of the Bullish and Bearish remarks.  If you'd like to know more about what drives the remark seen, locate the same number in the yellow collumn at the far left.  To the left of the Bullish and Bearish boxes are small purple boxes.  Click on one and see 5 year and 5 quarter charted data associated with the location of the purple box.  Verbiage with each graph explains what to look for.  That should be enough to get you started.  Investigate and enjoy.</t>
  </si>
  <si>
    <t>I suggest analyzing the data in layers.  You might start with observing the Bullish and Bearish remarks.  Even a cursory glance tells you a lot.  If there are many more Bullish remarks, that's probably good.  The opposite is probably bad.  Use the "Numerical Result of this Analysis" number only when comparing companies in the same industry.  Note: competitors are listed at the bottom of the sheet so a comparison is easily done.  Just type in the ticker symbol.  Another easy to use factor is determining the Intrinsic Value that Warren Buffett uses--he has no interest unless the discount rate is 25% or more.  Click the link, enter the ticker and read the result.  The result can be entered on the form if you wish.</t>
  </si>
  <si>
    <t>Free Cashflow per Share</t>
  </si>
  <si>
    <t>Q Cost of good sold</t>
  </si>
  <si>
    <t>(Warning if some data missing)</t>
  </si>
  <si>
    <t>Annual data</t>
  </si>
  <si>
    <t>Accts Receivable per share</t>
  </si>
  <si>
    <t>Convert Inventories</t>
  </si>
  <si>
    <r>
      <t xml:space="preserve">Type a Ticker Symbol in </t>
    </r>
    <r>
      <rPr>
        <b/>
        <sz val="9"/>
        <color indexed="12"/>
        <rFont val="Arial Narrow"/>
        <family val="2"/>
      </rPr>
      <t>blue</t>
    </r>
    <r>
      <rPr>
        <sz val="9"/>
        <rFont val="Arial Narrow"/>
        <family val="2"/>
      </rPr>
      <t xml:space="preserve"> colored cell &amp; press Enter</t>
    </r>
  </si>
  <si>
    <t>Per share Free Cash Flow</t>
  </si>
  <si>
    <t>Operating Cash Flow annual change</t>
  </si>
  <si>
    <t>Free Cahflow Margin</t>
  </si>
  <si>
    <t>Instructions to convert cell with number and text to number or text only</t>
  </si>
  <si>
    <t>http://www.excelforum.com/excel-general/683911-need-to-copy-only-select-text-from-one-cell-to-another.html</t>
  </si>
  <si>
    <t>Do you mean take it out and show just the Numbers in an adjacent cell, leaving the original data intact? If A1 has the value, put this formula in an adjacent cell, then copy the cell down the entire data set.</t>
  </si>
  <si>
    <t>Cppy this formula into adjacent cell (add = equal sign to make it a formuls)</t>
  </si>
  <si>
    <t>LOOKUP(99^99,--("0"&amp;MID(A1,MIN(SEARCH({0,1,2,3,4,5,6,7,8,9},A1&amp;"0123456789")),ROW($1:$10000))))</t>
  </si>
  <si>
    <t>Now you have the numbers. If you want the numbers back in the original column REPLACING the original data:</t>
  </si>
  <si>
    <t>1) highlight this whole new row of numbers</t>
  </si>
  <si>
    <t>2) click CTRL-C to copy</t>
  </si>
  <si>
    <t>3) click on the first cell in the original column</t>
  </si>
  <si>
    <t>4) select EDIT &gt; PASTE SPECIAL &gt; Values</t>
  </si>
  <si>
    <t>TO JUST SEPARATE THE TWO PARTS into cells of their own:  Requires a space between number and text</t>
  </si>
  <si>
    <t>1) Highlight the original column of mixed data</t>
  </si>
  <si>
    <t>2) Click on DATA &gt; TEXT TO COLUMNS &gt; DELIMITED &gt; next</t>
  </si>
  <si>
    <t>3) Click on [ ] Space</t>
  </si>
  <si>
    <t>4) Finish</t>
  </si>
  <si>
    <t>Dividends</t>
  </si>
  <si>
    <t>(convert to positive number)</t>
  </si>
  <si>
    <t>ROE</t>
  </si>
  <si>
    <t>ROC</t>
  </si>
  <si>
    <t>Privacy Policy</t>
  </si>
  <si>
    <t>Careers</t>
  </si>
  <si>
    <t>Sign In</t>
  </si>
  <si>
    <t>Financials</t>
  </si>
  <si>
    <t>NAME OF COMPANY</t>
  </si>
  <si>
    <t>Property Plant &amp; Equipment</t>
  </si>
  <si>
    <t>Free Cash Flow per Share</t>
  </si>
  <si>
    <t xml:space="preserve">This ratio will be higher for companies with high profit margins and growth.  Compare to same industry companies.  </t>
  </si>
  <si>
    <t xml:space="preserve">out of </t>
  </si>
  <si>
    <t>OFFSET(Price!A44,1,0)</t>
  </si>
  <si>
    <t>Shares Outstanding</t>
  </si>
  <si>
    <t>Advertise</t>
  </si>
  <si>
    <t>Facebook</t>
  </si>
  <si>
    <t>Twitter</t>
  </si>
  <si>
    <t>Podcasts</t>
  </si>
  <si>
    <t>Price</t>
  </si>
  <si>
    <t>[Inverse of the P/E ---  Price / Earnings]</t>
  </si>
  <si>
    <r>
      <t>In Excel, you can use VLOOKUP or INDEX/MATCH functions to reference the data in the web query. For example use a formula like </t>
    </r>
    <r>
      <rPr>
        <b/>
        <sz val="12"/>
        <color rgb="FF000000"/>
        <rFont val="Arial"/>
        <family val="2"/>
      </rPr>
      <t>=INDEX(D:D,MATCH("MSFT",B:B,0))</t>
    </r>
    <r>
      <rPr>
        <sz val="12"/>
        <color rgb="FF000000"/>
        <rFont val="Arial"/>
        <family val="2"/>
      </rPr>
      <t> to get the Price for MSFT.</t>
    </r>
  </si>
  <si>
    <t>Mortgages</t>
  </si>
  <si>
    <t>Banking</t>
  </si>
  <si>
    <t>Loans</t>
  </si>
  <si>
    <t>Investing</t>
  </si>
  <si>
    <t>How we make money</t>
  </si>
  <si>
    <t>Follow Us</t>
  </si>
  <si>
    <t>All items in Millions except Per Share data.</t>
  </si>
  <si>
    <t>Stocks</t>
  </si>
  <si>
    <t>Zacks #1 Rank</t>
  </si>
  <si>
    <t>Zacks Rank</t>
  </si>
  <si>
    <t>Zacks Industry Rank</t>
  </si>
  <si>
    <t>Equity Research</t>
  </si>
  <si>
    <t>Markets</t>
  </si>
  <si>
    <t>Funds</t>
  </si>
  <si>
    <t>Mutual Funds</t>
  </si>
  <si>
    <t>Mutual Fund Screener</t>
  </si>
  <si>
    <t>ETF Screener</t>
  </si>
  <si>
    <t>Top ETFs</t>
  </si>
  <si>
    <t>Earnings</t>
  </si>
  <si>
    <t>Earnings Calendar</t>
  </si>
  <si>
    <t>Earnings Releases</t>
  </si>
  <si>
    <t>Earnings ESP</t>
  </si>
  <si>
    <t>Screening</t>
  </si>
  <si>
    <t>Stock Screener</t>
  </si>
  <si>
    <t>Premium Screens</t>
  </si>
  <si>
    <t>Research Wizard</t>
  </si>
  <si>
    <t>Personal Finance</t>
  </si>
  <si>
    <t>Insurance</t>
  </si>
  <si>
    <t>Money Managing</t>
  </si>
  <si>
    <t>Real Estate</t>
  </si>
  <si>
    <t>Retirement Planning</t>
  </si>
  <si>
    <t>Tax Information</t>
  </si>
  <si>
    <t>My Portfolio</t>
  </si>
  <si>
    <t>Create Portfolio</t>
  </si>
  <si>
    <t>Education</t>
  </si>
  <si>
    <t>Style Scores</t>
  </si>
  <si>
    <t>Video</t>
  </si>
  <si>
    <t>Services</t>
  </si>
  <si>
    <t>Services Overview</t>
  </si>
  <si>
    <t>Zacks Ultimate</t>
  </si>
  <si>
    <t>Zacks Investor Collection</t>
  </si>
  <si>
    <t>Zacks Premium</t>
  </si>
  <si>
    <t>Zacks Confidential</t>
  </si>
  <si>
    <t>Black Box Trader</t>
  </si>
  <si>
    <t>Counterstrike</t>
  </si>
  <si>
    <t>ETF Investor</t>
  </si>
  <si>
    <t>Home Run Investor</t>
  </si>
  <si>
    <t>Income Investor</t>
  </si>
  <si>
    <t>Insider Trader</t>
  </si>
  <si>
    <t>Method for Trading</t>
  </si>
  <si>
    <t>Options Trader</t>
  </si>
  <si>
    <t>Stocks Under $10</t>
  </si>
  <si>
    <t>Surprise Trader</t>
  </si>
  <si>
    <t>Top 10 Stocks</t>
  </si>
  <si>
    <t>Value Investor</t>
  </si>
  <si>
    <t>Member Sign In</t>
  </si>
  <si>
    <t>Keep Me Signed In What does "Remember Me" do?</t>
  </si>
  <si>
    <t>Close this window</t>
  </si>
  <si>
    <t>Help</t>
  </si>
  <si>
    <t>You are being directed to ZacksTrade, a division of LBMZ Securities and licensed broker-dealer. ZacksTrade and Zacks.com are separate companies. The web link between the two companies is not a solicitation or offer to invest in a particular security or type of security. ZacksTrade does not endorse or adopt any particular investment strategy, any analyst opinion/rating/report or any approach to evaluating indiv idual securities.</t>
  </si>
  <si>
    <t>If you wish to go to ZacksTrade, click OK. If you do not, click Cancel.</t>
  </si>
  <si>
    <t>OK Cancel</t>
  </si>
  <si>
    <t>Back to top</t>
  </si>
  <si>
    <t xml:space="preserve">more </t>
  </si>
  <si>
    <t>close</t>
  </si>
  <si>
    <t>Quote Overview</t>
  </si>
  <si>
    <t>Option Chain</t>
  </si>
  <si>
    <t>Options Greek Montage</t>
  </si>
  <si>
    <t>Full Company Report</t>
  </si>
  <si>
    <t xml:space="preserve">Broker Reports </t>
  </si>
  <si>
    <t>Comparison to Industry</t>
  </si>
  <si>
    <t xml:space="preserve">Insiders </t>
  </si>
  <si>
    <t>Earnings Transcripts</t>
  </si>
  <si>
    <t>Comparative</t>
  </si>
  <si>
    <t>Price and Consensus</t>
  </si>
  <si>
    <t>Price &amp; EPS Surprise</t>
  </si>
  <si>
    <t>12 Month EPS</t>
  </si>
  <si>
    <t>Broker Recommendations</t>
  </si>
  <si>
    <t xml:space="preserve">Financial Overview </t>
  </si>
  <si>
    <t xml:space="preserve">Income Statements </t>
  </si>
  <si>
    <t xml:space="preserve">Balance Sheet </t>
  </si>
  <si>
    <t>Cash flow Statements</t>
  </si>
  <si>
    <t>A</t>
  </si>
  <si>
    <t>Growth Score</t>
  </si>
  <si>
    <t>Value Score</t>
  </si>
  <si>
    <t>Momentum Score</t>
  </si>
  <si>
    <t>Within each Score, stocks are graded into five groups: A, B, C, D and F. As you might remember from your school days, an A, is better than a B; a B is better than a C; a C is better than a D; and a D is better than an F.</t>
  </si>
  <si>
    <t>The Style Scores are a complementary set of indicators to use alongside the Zacks Rank. It allows the user to better focus on the stocks that are the best fit for his or her personal trading style.</t>
  </si>
  <si>
    <t>The scores are based on the trading styles of Value, Growth, and Momentum. There's also a VGM Score ('V' for Value, 'G' for Growth and 'M' for Momentum), which combines the weighted average of the individual style scores into one score.</t>
  </si>
  <si>
    <t>VGM Score</t>
  </si>
  <si>
    <t>As an investor, you want to buy stocks with the highest probability of success. That means you want to buy stocks with a Zacks Rank #1 or #2, Strong Buy or Buy, which also has a Score of an A or a B in your personal trading style.</t>
  </si>
  <si>
    <t>Zacks Style Scores Education - Learn more about the Zacks Style Scores</t>
  </si>
  <si>
    <t>This is our short term rating system that serves as a timeliness indicator for stocks over the next 1 to 3 months. How good is it? See rankings and related performance below.</t>
  </si>
  <si>
    <t>Definition</t>
  </si>
  <si>
    <t>Annualized Return</t>
  </si>
  <si>
    <t>Strong Buy</t>
  </si>
  <si>
    <t>Buy</t>
  </si>
  <si>
    <t>Hold</t>
  </si>
  <si>
    <t>Sell</t>
  </si>
  <si>
    <t>Strong Sell</t>
  </si>
  <si>
    <t>S&amp;P</t>
  </si>
  <si>
    <t>Zacks Rank Education - Learn about the Zacks Rank</t>
  </si>
  <si>
    <t>Zacks Rank Home - Zacks Rank resources in one place</t>
  </si>
  <si>
    <t>The Zacks Equity Research reports, or ZER for short, are our in-house, independently produced research reports.</t>
  </si>
  <si>
    <t>The ever popular one-page Snapshot reports are generated for virtually every single Zacks Ranked stock. It's packed with all of the company's key stats and salient decision making information. Including the Zacks Rank, Zacks Industry Rank, Style Scores, the Price, Consensus &amp; Surprise chart, graphical estimate analysis and how a stocks stacks up to its peers.</t>
  </si>
  <si>
    <t>The detailed multi-page Analyst report does an even deeper dive on the company's vital statistics. In addition to all of the proprietary analysis in the Snapshot, the report also visually displays the four components of the Zacks Rank (Agreement, Magnitude, Upside and Surprise); provides a comprehensive overview of the company business drivers, complete with earnings and sales charts; a recap of their last earnings report; and a bulleted list of reasons to buy or sell the stock. It also includes an industry comparison table to see how your stock compares to its expanded industry, and the S&amp;P 500.</t>
  </si>
  <si>
    <t>Researching stocks has never been so easy or insightful as with the ZER Analyst and Snapshot reports.</t>
  </si>
  <si>
    <t>Learn more about Zacks Equity Research reports</t>
  </si>
  <si>
    <t>See more Zacks Equity Research reports</t>
  </si>
  <si>
    <t>Sales</t>
  </si>
  <si>
    <t>Cost Of Goods</t>
  </si>
  <si>
    <t>Income After Depreciation &amp; Amortization</t>
  </si>
  <si>
    <t>Interest Expense</t>
  </si>
  <si>
    <t>Pretax Income</t>
  </si>
  <si>
    <t>Income Taxes</t>
  </si>
  <si>
    <t>Income From Cont. Operations</t>
  </si>
  <si>
    <t>Depreciation &amp; Amortization (Cash Flow)</t>
  </si>
  <si>
    <t>Diluted Net EPS</t>
  </si>
  <si>
    <t>Quick Links</t>
  </si>
  <si>
    <t>Account Types</t>
  </si>
  <si>
    <t>Premium Services</t>
  </si>
  <si>
    <t>Research</t>
  </si>
  <si>
    <t>Commentary</t>
  </si>
  <si>
    <t>My Account</t>
  </si>
  <si>
    <t>Manage Account</t>
  </si>
  <si>
    <t>Update Profile</t>
  </si>
  <si>
    <t>Subscriptions</t>
  </si>
  <si>
    <t>Preferences</t>
  </si>
  <si>
    <t>Login/Password Help</t>
  </si>
  <si>
    <t>Upgrade to Premium</t>
  </si>
  <si>
    <t>Resources</t>
  </si>
  <si>
    <t>About Zacks</t>
  </si>
  <si>
    <t>Site Map</t>
  </si>
  <si>
    <t>Client Support</t>
  </si>
  <si>
    <t>Share Feedback</t>
  </si>
  <si>
    <t>Media</t>
  </si>
  <si>
    <t>Linkedin</t>
  </si>
  <si>
    <t>You Tube</t>
  </si>
  <si>
    <t>Zacks Research is Reported On:</t>
  </si>
  <si>
    <t>MSN</t>
  </si>
  <si>
    <t>Marketwatch</t>
  </si>
  <si>
    <t>Nasdaq</t>
  </si>
  <si>
    <t>Forbes</t>
  </si>
  <si>
    <t>Investors.com</t>
  </si>
  <si>
    <t>Morningstar</t>
  </si>
  <si>
    <t>Visit www.zacksdata.com to get our data and content for your mobile app or website.</t>
  </si>
  <si>
    <t>NYSE and AMEX data is at least 20 minutes delayed. NASDAQ data is at least 15 minutes delayed.</t>
  </si>
  <si>
    <t>Assets</t>
  </si>
  <si>
    <t>Cash &amp; Equivalents</t>
  </si>
  <si>
    <t>Receivables</t>
  </si>
  <si>
    <t>Notes Receivable</t>
  </si>
  <si>
    <t>Net Property &amp; Equipment</t>
  </si>
  <si>
    <t>Investments &amp; Advances</t>
  </si>
  <si>
    <t>Other Non-Current Assets</t>
  </si>
  <si>
    <t>Deferred Charges</t>
  </si>
  <si>
    <t>Intangibles</t>
  </si>
  <si>
    <t>Deposits &amp; Other Assets</t>
  </si>
  <si>
    <t>Liabilities &amp; Shareholders Equity</t>
  </si>
  <si>
    <t>Notes Payable</t>
  </si>
  <si>
    <t>Accounts Payable</t>
  </si>
  <si>
    <t>Current Portion Long-Term Debt</t>
  </si>
  <si>
    <t>Current Portion Capital Leases</t>
  </si>
  <si>
    <t>Accrued Expenses</t>
  </si>
  <si>
    <t>Income Taxes Payable</t>
  </si>
  <si>
    <t>Deferred Taxes/Income</t>
  </si>
  <si>
    <t>Convertible Debt</t>
  </si>
  <si>
    <t>Long-Term Debt</t>
  </si>
  <si>
    <t>Non-Current Capital Leases</t>
  </si>
  <si>
    <t>Other Non-Current Liabilities</t>
  </si>
  <si>
    <t>Minority Interest (Liabilities)</t>
  </si>
  <si>
    <t>Shareholders Equity</t>
  </si>
  <si>
    <t>Common Stock (Par)</t>
  </si>
  <si>
    <t>Capital Surplus</t>
  </si>
  <si>
    <t>Other Equity</t>
  </si>
  <si>
    <t>Total Shareholder's Equity</t>
  </si>
  <si>
    <t>Total Liabilities &amp; Shareholder's Equity</t>
  </si>
  <si>
    <t>Total Common Equity</t>
  </si>
  <si>
    <t>Book Value Per Share</t>
  </si>
  <si>
    <t>Zacks Sector Rank</t>
  </si>
  <si>
    <t>Earnings ESP Filter</t>
  </si>
  <si>
    <t>Investor Services</t>
  </si>
  <si>
    <t>Other Services</t>
  </si>
  <si>
    <t>Trading Services</t>
  </si>
  <si>
    <t>Large-Cap Trader</t>
  </si>
  <si>
    <t>TAZR</t>
  </si>
  <si>
    <t>Menu</t>
  </si>
  <si>
    <t xml:space="preserve">Quotes &amp; News </t>
  </si>
  <si>
    <t xml:space="preserve">Zacks News </t>
  </si>
  <si>
    <t xml:space="preserve">Partner News </t>
  </si>
  <si>
    <t xml:space="preserve">Zacks Research </t>
  </si>
  <si>
    <t>*Snapshot</t>
  </si>
  <si>
    <t>*Analyst Report</t>
  </si>
  <si>
    <t>*Style Scores</t>
  </si>
  <si>
    <t>Zacks Experts View</t>
  </si>
  <si>
    <t xml:space="preserve">More Research </t>
  </si>
  <si>
    <t>Key Company Metrics</t>
  </si>
  <si>
    <t xml:space="preserve">Charts </t>
  </si>
  <si>
    <t>*Price, Consensus and EPS Surprise</t>
  </si>
  <si>
    <t>*Fundamental Charts</t>
  </si>
  <si>
    <t>Interactive Charts</t>
  </si>
  <si>
    <t xml:space="preserve">Financials </t>
  </si>
  <si>
    <t xml:space="preserve">Options </t>
  </si>
  <si>
    <t>Access Zacks</t>
  </si>
  <si>
    <t>Data Feed</t>
  </si>
  <si>
    <t>Add to portfolio</t>
  </si>
  <si>
    <t>Zacks Premium - The only way to fully access the Zacks Rank</t>
  </si>
  <si>
    <t>The Zacks Industry Rank assigns a rating to each of the 265 X (Expanded) Industries based on their average Zacks Rank.</t>
  </si>
  <si>
    <t>An industry with a larger percentage of Zacks Rank #1&amp;apos;s and #2&amp;apos;s will have a better average Zacks Rank than one with a larger percentage of Zacks Rank #4&amp;apos;s and #5&amp;apos;s.</t>
  </si>
  <si>
    <t>The industry with the best average Zacks Rank would be considered the top industry (1 out of 265), which would place it in the top 1% of Zacks Ranked Industries. The industry with the worst average Zacks Rank (265 out of 265) would place in the bottom 1%.</t>
  </si>
  <si>
    <t>Zacks Rank Education -- Learn more about the Zacks Rank</t>
  </si>
  <si>
    <t>Zacks Industry Rank Education -- Learn more about the Zacks Industry Rank</t>
  </si>
  <si>
    <t>Annual Balance Sheet</t>
  </si>
  <si>
    <t>Quarterly Balance Sheet</t>
  </si>
  <si>
    <t xml:space="preserve">     </t>
  </si>
  <si>
    <t>Zacks Advisor Tools</t>
  </si>
  <si>
    <t>Zacks Investment Research is an A+ Rated BBB Accredited Business</t>
  </si>
  <si>
    <t>Cost of Goods</t>
  </si>
  <si>
    <t>ba</t>
  </si>
  <si>
    <t>Net Income (Loss)</t>
  </si>
  <si>
    <t>Depreciation/Amortization &amp; Depletion</t>
  </si>
  <si>
    <t>Net Cash From Operating Activities</t>
  </si>
  <si>
    <t>Property &amp; Equipment</t>
  </si>
  <si>
    <t>Payment of Dividends &amp; Other Distributions</t>
  </si>
  <si>
    <t>Below 60 is good - below 45 is superb)</t>
  </si>
  <si>
    <t>OFFSET(INDEX(AnnBS!$A$200:$I$500,$A4,COLUMN()-COLUMN($A4)),1,0)</t>
  </si>
  <si>
    <t>Q Inventories</t>
  </si>
  <si>
    <t>Q Sales</t>
  </si>
  <si>
    <t>LT Debt</t>
  </si>
  <si>
    <t>Graphs</t>
  </si>
  <si>
    <t>Annual Free Cash Flow/share</t>
  </si>
  <si>
    <t>An attempt to provide accurate information on this spreadsheet has been made but is not guaranteed.  It uses data available from free data sites which change their formatting at times, which causes the tool to fail.  If a problem is noticed please email me.  bobatseattle@gmail.com</t>
  </si>
  <si>
    <t>7a</t>
  </si>
  <si>
    <t>ccl</t>
  </si>
  <si>
    <t>Technology</t>
  </si>
  <si>
    <t>Innovators</t>
  </si>
  <si>
    <t>Healthcare</t>
  </si>
  <si>
    <t>There is a considerable amount of data to be downloaded to complete the analysis.</t>
  </si>
  <si>
    <t>Ratings methodology</t>
  </si>
  <si>
    <t>aapl</t>
  </si>
  <si>
    <t>Blockchain</t>
  </si>
  <si>
    <t>Terms of Service</t>
  </si>
  <si>
    <t xml:space="preserve">Trades from $1 </t>
  </si>
  <si>
    <t>Zacks Mobile App</t>
  </si>
  <si>
    <t xml:space="preserve">Open navigation </t>
  </si>
  <si>
    <t>Retirement</t>
  </si>
  <si>
    <t>Main Menu</t>
  </si>
  <si>
    <t xml:space="preserve">Mortgages overview </t>
  </si>
  <si>
    <t xml:space="preserve">Banking overview </t>
  </si>
  <si>
    <t xml:space="preserve">Loans overview </t>
  </si>
  <si>
    <t xml:space="preserve">Investing overview </t>
  </si>
  <si>
    <t>Best of</t>
  </si>
  <si>
    <t xml:space="preserve">Insurance overview </t>
  </si>
  <si>
    <t xml:space="preserve">Retirement overview </t>
  </si>
  <si>
    <t>Bankrate, LLC NMLS ID# 1427381 | NMLS Consumer Access</t>
  </si>
  <si>
    <t>Skip to main content</t>
  </si>
  <si>
    <t>Don't Know Your Password?</t>
  </si>
  <si>
    <t>Commodity</t>
  </si>
  <si>
    <t>Marijuana</t>
  </si>
  <si>
    <t>AAPL</t>
  </si>
  <si>
    <t>Income Statements</t>
  </si>
  <si>
    <t>Quarterly Income Statement</t>
  </si>
  <si>
    <t>All items in Millions except EPS data.</t>
  </si>
  <si>
    <t>Gross Profit</t>
  </si>
  <si>
    <t>Selling &amp; Adminstrative &amp; Depr. &amp; Amort Expenses</t>
  </si>
  <si>
    <t>Non-Operating Income</t>
  </si>
  <si>
    <t>Minority Interest</t>
  </si>
  <si>
    <t>Investment Gains/Losses</t>
  </si>
  <si>
    <t>Other Income/Charges</t>
  </si>
  <si>
    <t>Extras &amp; Discontinued Operations</t>
  </si>
  <si>
    <t>Depreciation Footnote</t>
  </si>
  <si>
    <t>Income Before Depreciation &amp; Amortization</t>
  </si>
  <si>
    <t>Earnings Per Share Data</t>
  </si>
  <si>
    <t>Average Shares</t>
  </si>
  <si>
    <t>Diluted EPS Before Non-Recurring Items</t>
  </si>
  <si>
    <t>SG&amp;A, R&amp;D, and Dept/Amort Expenses</t>
  </si>
  <si>
    <t>Income After SG&amp;A, R&amp;D, and Dept/Amort Expenses</t>
  </si>
  <si>
    <t>Annual Cash Flow Statement</t>
  </si>
  <si>
    <t>All data in Millions except Per Share data.</t>
  </si>
  <si>
    <t>Cash Flow From Operations, Investments &amp; Financial Activities</t>
  </si>
  <si>
    <t>Cash Flow From Operations, Investments &amp; Financial</t>
  </si>
  <si>
    <t>Activities</t>
  </si>
  <si>
    <t>Net Change from Assets/Liabilities</t>
  </si>
  <si>
    <t>Net Cash from Discontinued Operations</t>
  </si>
  <si>
    <t>Other Operating Activities</t>
  </si>
  <si>
    <t>Acquisition/ Disposition of Subsidiaries</t>
  </si>
  <si>
    <t>Investments</t>
  </si>
  <si>
    <t>Other Investing Activities</t>
  </si>
  <si>
    <t>Net Cash from Investing Activities</t>
  </si>
  <si>
    <t>Uses of Funds</t>
  </si>
  <si>
    <t>Issuance (Repurchase) of Capital Stock</t>
  </si>
  <si>
    <t>Issuance (Repayment) of Debt</t>
  </si>
  <si>
    <t>Increase (Decrease) Short-Term Debt</t>
  </si>
  <si>
    <t>Other Financing Activities</t>
  </si>
  <si>
    <t>Net Cash from Financing Activities</t>
  </si>
  <si>
    <t>Effect of Exchange Rate Changes</t>
  </si>
  <si>
    <t>Net Change In Cash &amp; Equivalents</t>
  </si>
  <si>
    <t>Cash at Beginning of Period</t>
  </si>
  <si>
    <t>Cash at End of Period</t>
  </si>
  <si>
    <t>Credit cards</t>
  </si>
  <si>
    <t>Home equity</t>
  </si>
  <si>
    <t>Get the best rates</t>
  </si>
  <si>
    <t>Use calculators</t>
  </si>
  <si>
    <t>Get advice</t>
  </si>
  <si>
    <t>Bank reviews</t>
  </si>
  <si>
    <t xml:space="preserve">Credit cards overview </t>
  </si>
  <si>
    <t>Compare by category</t>
  </si>
  <si>
    <t>Compare by credit needed</t>
  </si>
  <si>
    <t>Compare by issuer</t>
  </si>
  <si>
    <t>Brokerage reviews</t>
  </si>
  <si>
    <t xml:space="preserve">Home equity overview </t>
  </si>
  <si>
    <t>Company reviews</t>
  </si>
  <si>
    <t>Do Not Sell My Personal Information</t>
  </si>
  <si>
    <t>Due to inactivity, you will be</t>
  </si>
  <si>
    <t>signed out in approximately:</t>
  </si>
  <si>
    <t>CLICK TO CONTINUE WORKING</t>
  </si>
  <si>
    <t>CCL</t>
  </si>
  <si>
    <t>bats</t>
  </si>
  <si>
    <t>OFFSET(INDEX('[AnnReport-ZACKS 936a.xlsm]AnnBS'!$A$300:$A400,$A76,COLUMN()-COLUMN($C76)),2,0)</t>
  </si>
  <si>
    <t>find the price</t>
  </si>
  <si>
    <t>&lt;&lt;&lt;</t>
  </si>
  <si>
    <t>Sign in</t>
  </si>
  <si>
    <t>Lender reviews</t>
  </si>
  <si>
    <t>Knowledge base</t>
  </si>
  <si>
    <t xml:space="preserve">Open search Close search </t>
  </si>
  <si>
    <t>About</t>
  </si>
  <si>
    <t>Legal</t>
  </si>
  <si>
    <t>Do not sell my info</t>
  </si>
  <si>
    <t>BR Tech Services, Inc. NMLS ID #1743443 | NMLS Consumer Access</t>
  </si>
  <si>
    <t>Zacks Premium FeatureView All Zacks #1 Ranked Stocks</t>
  </si>
  <si>
    <t>Download our Zacks App from the Apple App Store</t>
  </si>
  <si>
    <t>Download our Zacks App from Google Play</t>
  </si>
  <si>
    <t>This site is protected by reCAPTCHA and the Google Privacy Policy and Terms of Service apply.</t>
  </si>
  <si>
    <t xml:space="preserve">With the data now in Excel, you can use VLOOKUP or INDEX/MATCH functions to reference the data in the web query. </t>
  </si>
  <si>
    <t>For example use a formula like =INDEX(D:D,MATCH("MSFT",B:B,0)) to get the Price for MSFT.</t>
  </si>
  <si>
    <t xml:space="preserve">Total Bulish factors: </t>
  </si>
  <si>
    <t xml:space="preserve">Total Bearish factors: </t>
  </si>
  <si>
    <t>Username or Email Address</t>
  </si>
  <si>
    <t>Password</t>
  </si>
  <si>
    <t>Enter Symbol</t>
  </si>
  <si>
    <t>2nd price location</t>
  </si>
  <si>
    <t>1st price location</t>
  </si>
  <si>
    <t>Text to value &gt;&gt;&gt;</t>
  </si>
  <si>
    <t>Using Vlookup and Offset</t>
  </si>
  <si>
    <t>Vlookup price AnnBS</t>
  </si>
  <si>
    <t>Latest Annual Free Cashflow</t>
  </si>
  <si>
    <t>Accessibility</t>
  </si>
  <si>
    <t>30-year mortgage rates</t>
  </si>
  <si>
    <t>15-year mortgage rates</t>
  </si>
  <si>
    <t>Refinance rates</t>
  </si>
  <si>
    <t>30-year refinance rates</t>
  </si>
  <si>
    <t>15-year refinance rates</t>
  </si>
  <si>
    <t>Mortgage refinance calculator</t>
  </si>
  <si>
    <t>Savings accounts</t>
  </si>
  <si>
    <t>Money market accounts</t>
  </si>
  <si>
    <t>1-year CD rates</t>
  </si>
  <si>
    <t>5-year CD rates</t>
  </si>
  <si>
    <t>Checking accounts</t>
  </si>
  <si>
    <t>Best banks</t>
  </si>
  <si>
    <t>Savings calculator</t>
  </si>
  <si>
    <t>CD calculator</t>
  </si>
  <si>
    <t>Compound savings calculator</t>
  </si>
  <si>
    <t>All banking calculators</t>
  </si>
  <si>
    <t>How to save money</t>
  </si>
  <si>
    <t>Federal Reserve news</t>
  </si>
  <si>
    <t>What is a savings account?</t>
  </si>
  <si>
    <t>What is a money market account?</t>
  </si>
  <si>
    <t>Which certificate of deposit account is best?</t>
  </si>
  <si>
    <t>How to open a savings account</t>
  </si>
  <si>
    <t>Tax advice</t>
  </si>
  <si>
    <t>Capital One Bank</t>
  </si>
  <si>
    <t>Marcus by Goldman Sachs</t>
  </si>
  <si>
    <t>American Express National Bank</t>
  </si>
  <si>
    <t>CIT Bank</t>
  </si>
  <si>
    <t>Synchrony Bank</t>
  </si>
  <si>
    <t>Barclays Bank</t>
  </si>
  <si>
    <t>All bank reviews</t>
  </si>
  <si>
    <t>Rewards</t>
  </si>
  <si>
    <t>Travel</t>
  </si>
  <si>
    <t>Airline</t>
  </si>
  <si>
    <t>Cash back</t>
  </si>
  <si>
    <t>No annual fee</t>
  </si>
  <si>
    <t>Balance transfer</t>
  </si>
  <si>
    <t>0% APR</t>
  </si>
  <si>
    <t>Student</t>
  </si>
  <si>
    <t>Excellent credit</t>
  </si>
  <si>
    <t>Good credit</t>
  </si>
  <si>
    <t>Fair credit</t>
  </si>
  <si>
    <t>Bad credit</t>
  </si>
  <si>
    <t>No credit history</t>
  </si>
  <si>
    <t>Secured credit cards</t>
  </si>
  <si>
    <t>American Express</t>
  </si>
  <si>
    <t>Bank of America</t>
  </si>
  <si>
    <t>Capital One</t>
  </si>
  <si>
    <t>Chase</t>
  </si>
  <si>
    <t>Citi</t>
  </si>
  <si>
    <t>Discover</t>
  </si>
  <si>
    <t>Wells Fargo</t>
  </si>
  <si>
    <t>CardMatch™</t>
  </si>
  <si>
    <t>Credit card reviews</t>
  </si>
  <si>
    <t>Credit card payoff calculator</t>
  </si>
  <si>
    <t>Balance transfer calculator</t>
  </si>
  <si>
    <t>All credit card calculators</t>
  </si>
  <si>
    <t>Improving your credit</t>
  </si>
  <si>
    <t>Low-interest personal loans</t>
  </si>
  <si>
    <t>Personal loans for bad credit</t>
  </si>
  <si>
    <t>Student loan rates</t>
  </si>
  <si>
    <t>Student loan refinance rates</t>
  </si>
  <si>
    <t>Auto loan rates</t>
  </si>
  <si>
    <t>Discover review</t>
  </si>
  <si>
    <t>Loan calculator</t>
  </si>
  <si>
    <t>Personal loan calculator</t>
  </si>
  <si>
    <t>Loan payment calculator</t>
  </si>
  <si>
    <t>Student loan calculator</t>
  </si>
  <si>
    <t>Auto loan calculator</t>
  </si>
  <si>
    <t>Auto refinance calculator</t>
  </si>
  <si>
    <t>Best investments</t>
  </si>
  <si>
    <t>Annuity calculator</t>
  </si>
  <si>
    <t>Home equity loan rates</t>
  </si>
  <si>
    <t>Home equity line of credit rates</t>
  </si>
  <si>
    <t>Current interest rates</t>
  </si>
  <si>
    <t>Home equity lender reviews</t>
  </si>
  <si>
    <t>Figure review</t>
  </si>
  <si>
    <t>Third Federal Savings &amp; Loan review</t>
  </si>
  <si>
    <t>Spring EQ review</t>
  </si>
  <si>
    <t>Loan vs. line of credit calculator</t>
  </si>
  <si>
    <t>Debt consolidation calculator</t>
  </si>
  <si>
    <t>All home equity calculators</t>
  </si>
  <si>
    <t>Home equity loans</t>
  </si>
  <si>
    <t>What is a home equity loan?</t>
  </si>
  <si>
    <t>How to borrow from home equity</t>
  </si>
  <si>
    <t>HELOC vs. Home equity loan</t>
  </si>
  <si>
    <t>Consolidate your debt using home equity</t>
  </si>
  <si>
    <t>Home equity loans with bad credit</t>
  </si>
  <si>
    <t>Best car insurance companies</t>
  </si>
  <si>
    <t>Best home insurance companies</t>
  </si>
  <si>
    <t>Best life insurance companies</t>
  </si>
  <si>
    <t>Geico Insurance</t>
  </si>
  <si>
    <t>State Farm Insurance</t>
  </si>
  <si>
    <t>Progressive Insurance</t>
  </si>
  <si>
    <t>Allstate Insurance</t>
  </si>
  <si>
    <t>Liberty Mutual Insurance</t>
  </si>
  <si>
    <t>Travelers Insurance</t>
  </si>
  <si>
    <t>Best Roth IRA accounts</t>
  </si>
  <si>
    <t>Best retirement plans</t>
  </si>
  <si>
    <t>Roth IRA calculator</t>
  </si>
  <si>
    <t>All retirement calculators</t>
  </si>
  <si>
    <t>401(k) contribution limits</t>
  </si>
  <si>
    <t>Profile</t>
  </si>
  <si>
    <t>Support</t>
  </si>
  <si>
    <t>Logout</t>
  </si>
  <si>
    <t>All mortgage lender reviews</t>
  </si>
  <si>
    <t>Looking for the perfect credit card?</t>
  </si>
  <si>
    <t>Narrow your search with CardMatch™</t>
  </si>
  <si>
    <t xml:space="preserve">Do not remove lines 18 &amp; 19 above --they contain verbiage </t>
  </si>
  <si>
    <t>Company Name from Zacks Ann Balance Sheet</t>
  </si>
  <si>
    <t>Stocks Stocks</t>
  </si>
  <si>
    <t>Funds Funds</t>
  </si>
  <si>
    <t>Earnings Earnings</t>
  </si>
  <si>
    <t>Screening Screening</t>
  </si>
  <si>
    <t>Finance Finance</t>
  </si>
  <si>
    <t>Portfolio Portfolio</t>
  </si>
  <si>
    <t>Education Education</t>
  </si>
  <si>
    <t>Services Services</t>
  </si>
  <si>
    <t>Close Services menu</t>
  </si>
  <si>
    <t>Short Sell List</t>
  </si>
  <si>
    <t>Quote or Search Search</t>
  </si>
  <si>
    <t>OLD DATA SEARCH--DATA MOVED TO A203</t>
  </si>
  <si>
    <t>to find Price</t>
  </si>
  <si>
    <t>to find Company name</t>
  </si>
  <si>
    <t>NSDQ</t>
  </si>
  <si>
    <t>NYSE</t>
  </si>
  <si>
    <t>This price used</t>
  </si>
  <si>
    <r>
      <t xml:space="preserve">All data will be inserted in the appropriate cells--provided you are logged on to the Internet.  Be patient.  The update may take 15 to 20 seconds. New data will be written over the old data.  </t>
    </r>
    <r>
      <rPr>
        <b/>
        <u/>
        <sz val="10"/>
        <rFont val="Arial"/>
        <family val="2"/>
      </rPr>
      <t>There is no need to delete existing data</t>
    </r>
    <r>
      <rPr>
        <b/>
        <sz val="10"/>
        <rFont val="Arial"/>
        <family val="2"/>
      </rPr>
      <t xml:space="preserve">. </t>
    </r>
    <r>
      <rPr>
        <b/>
        <u/>
        <sz val="10"/>
        <rFont val="Arial"/>
        <family val="2"/>
      </rPr>
      <t>No password is required to use this tool</t>
    </r>
    <r>
      <rPr>
        <b/>
        <sz val="10"/>
        <rFont val="Arial"/>
        <family val="2"/>
      </rPr>
      <t xml:space="preserve">.  If you are asked for a password you are attempting to enter data into a cell that cannot be changed.  The ticker symbol is the only data entry needed to use the spreadsheet. </t>
    </r>
  </si>
  <si>
    <t xml:space="preserve">The automatic data feature requires being logged on to the Internet when the spreadsheet is opened, and only works with Excel 2000 or newer. If you are using Excel 2007 or newer you must download the file that's to be used with the version of Excel you are using.  Note that there are two versions of the spreadsheet on my site.  </t>
  </si>
  <si>
    <t>QUARTERLY BALANCE SHEET DATA</t>
  </si>
  <si>
    <t>Qtr Income data</t>
  </si>
  <si>
    <t>Business</t>
  </si>
  <si>
    <t>Personal Loans</t>
  </si>
  <si>
    <t>Personal loan rates</t>
  </si>
  <si>
    <t>Personal loans lender reviews</t>
  </si>
  <si>
    <t>Personal loans knowledge base</t>
  </si>
  <si>
    <t>Student Loans</t>
  </si>
  <si>
    <t>Current student loans news</t>
  </si>
  <si>
    <t>Student loans lender reviews</t>
  </si>
  <si>
    <t>Student loans knowledge base</t>
  </si>
  <si>
    <t>Auto loans knowledge base</t>
  </si>
  <si>
    <t>Debt consolidation loan rates</t>
  </si>
  <si>
    <t>Home improvement loan rates</t>
  </si>
  <si>
    <t>Installment loan rates</t>
  </si>
  <si>
    <t>Loan calculators</t>
  </si>
  <si>
    <t>Home equity line of credit (HELOC) calculator</t>
  </si>
  <si>
    <t>Lemonade Insurance</t>
  </si>
  <si>
    <t xml:space="preserve">Submit </t>
  </si>
  <si>
    <t>We use cookies to understand how you use our site and to improve your experience. This includes personalizing content and advertising. To learn more, click here. By continuing to use our site, you accept our use of cookies, revised Privacy Policy and Terms of Service.</t>
  </si>
  <si>
    <t>Testimonials</t>
  </si>
  <si>
    <t>Zacks.com Tutorial</t>
  </si>
  <si>
    <t>Headline Trader</t>
  </si>
  <si>
    <t>* indicates the important links in the menu</t>
  </si>
  <si>
    <t>Performance Disclosure</t>
  </si>
  <si>
    <t>Visit Performance Disclosure for information about the performance numbers displayed above.</t>
  </si>
  <si>
    <t>Price to use above^^^^</t>
  </si>
  <si>
    <t>data Feed</t>
  </si>
  <si>
    <t>Alternate method using "Data Feed"</t>
  </si>
  <si>
    <t>Buying a home</t>
  </si>
  <si>
    <t>Today's mortgage rates</t>
  </si>
  <si>
    <t>Calculate your mortgage payment</t>
  </si>
  <si>
    <t>Mortgage refinance resources</t>
  </si>
  <si>
    <t>How to refinance your mortgage</t>
  </si>
  <si>
    <t>Finding the right lender</t>
  </si>
  <si>
    <t>Best mortgage lenders</t>
  </si>
  <si>
    <t>Best online lenders</t>
  </si>
  <si>
    <t>Best lenders for first-time homebuyers</t>
  </si>
  <si>
    <t>Best VA mortgage lenders</t>
  </si>
  <si>
    <t>Veteran resources</t>
  </si>
  <si>
    <t>FHA loans</t>
  </si>
  <si>
    <t>Jumbo loans</t>
  </si>
  <si>
    <t>Mortgage relief</t>
  </si>
  <si>
    <t>Second home</t>
  </si>
  <si>
    <t>Closing costs</t>
  </si>
  <si>
    <t>No foreign transaction fees</t>
  </si>
  <si>
    <t>Private student loans</t>
  </si>
  <si>
    <t>Students loans for bad credit</t>
  </si>
  <si>
    <t>What is a HELOC?</t>
  </si>
  <si>
    <t>Earnings Dates and Announcements</t>
  </si>
  <si>
    <t>Zacks Rank:</t>
  </si>
  <si>
    <t>More Info</t>
  </si>
  <si>
    <t>Style Scores:</t>
  </si>
  <si>
    <t>Industry Rank:</t>
  </si>
  <si>
    <t xml:space="preserve">Reviewed by Accessible360 </t>
  </si>
  <si>
    <t>This page has not been authorized, sponsored, or otherwise approved or endorsed by the companies represented herein. Each of the company logos represented herein are trademarks of Microsoft Corporation; Dow Jones &amp; Company; Nasdaq, Inc.; Forbes Media, LLC; Investor's Business Daily, Inc.; and Morningstar, Inc.</t>
  </si>
  <si>
    <t>Copyright Bob Adams 2021 All Rights Reserved</t>
  </si>
  <si>
    <t>Home equity loan and HELOC guide</t>
  </si>
  <si>
    <t>Crypto</t>
  </si>
  <si>
    <t>Dividend History</t>
  </si>
  <si>
    <t>This name used</t>
  </si>
  <si>
    <t>Best short-term investments</t>
  </si>
  <si>
    <t>Best long-term investments</t>
  </si>
  <si>
    <t>Best investment apps</t>
  </si>
  <si>
    <t>Best cryptocurrency brokers</t>
  </si>
  <si>
    <t>Best index funds</t>
  </si>
  <si>
    <t>Best ETFs</t>
  </si>
  <si>
    <t>Best mutual funds</t>
  </si>
  <si>
    <t>Brokerages and robo-advisors</t>
  </si>
  <si>
    <t>E-Trade review</t>
  </si>
  <si>
    <t>Robinhood review</t>
  </si>
  <si>
    <t>TD Ameritrade review</t>
  </si>
  <si>
    <t>Robo-advisor reviews</t>
  </si>
  <si>
    <t>Betterment review</t>
  </si>
  <si>
    <t>Schwab Intelligent Portfolios review</t>
  </si>
  <si>
    <t>Wealthfront review</t>
  </si>
  <si>
    <t>Learn the basics</t>
  </si>
  <si>
    <t>How to start investing</t>
  </si>
  <si>
    <t>How to invest in stocks</t>
  </si>
  <si>
    <t>How to invest in ETFs</t>
  </si>
  <si>
    <t>How to invest in mutual funds</t>
  </si>
  <si>
    <t>How to buy an S&amp;P 500 index fund</t>
  </si>
  <si>
    <t>How does a call option work?</t>
  </si>
  <si>
    <t>What are index funds and how do they work?</t>
  </si>
  <si>
    <t>What are put options?</t>
  </si>
  <si>
    <t>Additional resources</t>
  </si>
  <si>
    <t>Currency converter</t>
  </si>
  <si>
    <t>Capital gains tax</t>
  </si>
  <si>
    <t>Cryptocurrency investing</t>
  </si>
  <si>
    <t>Investment goal calculator</t>
  </si>
  <si>
    <t>Low-risk investments</t>
  </si>
  <si>
    <t>Mutual funds vs. ETFs</t>
  </si>
  <si>
    <t>Passive income ideas</t>
  </si>
  <si>
    <t>Cheapest car insurance companies</t>
  </si>
  <si>
    <t>Car insurance quotes</t>
  </si>
  <si>
    <t>How much is car insurance?</t>
  </si>
  <si>
    <t>Car insurance by state</t>
  </si>
  <si>
    <t>Learn more about car insurance</t>
  </si>
  <si>
    <t>Homeowners insurance</t>
  </si>
  <si>
    <t>Cheapest home insurance companies</t>
  </si>
  <si>
    <t>Home insurance quotes</t>
  </si>
  <si>
    <t>How much is homeowners insurance?</t>
  </si>
  <si>
    <t>Home insurance by state</t>
  </si>
  <si>
    <t>Learn more about home insurance</t>
  </si>
  <si>
    <t>Other insurance</t>
  </si>
  <si>
    <t>Life insurance quotes</t>
  </si>
  <si>
    <t>Life insurance calculator</t>
  </si>
  <si>
    <t>Whole life insurance</t>
  </si>
  <si>
    <t>Term life insurance</t>
  </si>
  <si>
    <t>Learn more about life insurance</t>
  </si>
  <si>
    <t>Best renters insurance companies</t>
  </si>
  <si>
    <t>Learn more about renters insurance</t>
  </si>
  <si>
    <t>Retirement plans &amp; accounts</t>
  </si>
  <si>
    <t>Best IRA accounts</t>
  </si>
  <si>
    <t>Best alternatives to a 401(k)</t>
  </si>
  <si>
    <t>Best places to roll over your 401(k)</t>
  </si>
  <si>
    <t>Best retirement plans for self-employed</t>
  </si>
  <si>
    <t>What is a spousal IRA?</t>
  </si>
  <si>
    <t>How to save for retirement</t>
  </si>
  <si>
    <t>How much to save for retirement</t>
  </si>
  <si>
    <t>How does an IRA work?</t>
  </si>
  <si>
    <t>How much should you contribute to your 401(k)?</t>
  </si>
  <si>
    <t>How does a Roth IRA work?</t>
  </si>
  <si>
    <t>How to pick 401(k) investments</t>
  </si>
  <si>
    <t>IRA vs. 401(k)</t>
  </si>
  <si>
    <t>Roth 401(k) vs. traditional 401(k)</t>
  </si>
  <si>
    <t>Retirement calculators</t>
  </si>
  <si>
    <t>Retirement calculator</t>
  </si>
  <si>
    <t>Retirement plan income calculator</t>
  </si>
  <si>
    <t>Social Security benefits calculator</t>
  </si>
  <si>
    <t>Traditional IRA calculator</t>
  </si>
  <si>
    <t>401(k) calculator</t>
  </si>
  <si>
    <t>401(k) vs. Roth IRA calculator</t>
  </si>
  <si>
    <t>Best and worst states for retirement</t>
  </si>
  <si>
    <t>Best age to take Social Security</t>
  </si>
  <si>
    <t>How to avoid early withdrawals</t>
  </si>
  <si>
    <t>Inherited IRA rules</t>
  </si>
  <si>
    <t>Retirement withdrawal strategies</t>
  </si>
  <si>
    <t>Should you accept an early retirement offer?</t>
  </si>
  <si>
    <t>What to do if you're ready to retire</t>
  </si>
  <si>
    <t>What to do when you lose your 401(k) match</t>
  </si>
  <si>
    <t>Zacks Investment Research Home</t>
  </si>
  <si>
    <t>Closing Price</t>
  </si>
  <si>
    <t>CLICK HERE FOR INTRINSIC VALUE</t>
  </si>
  <si>
    <t>Enter Discounted CF here &gt;&gt;&gt;</t>
  </si>
  <si>
    <t>Discounted Cash Flow is not an automatic feature.  Click the link above. When on the site type in the ticker symbol.</t>
  </si>
  <si>
    <t>Scroll down to find the "Fair Value".  Enter the value on the Analysis spreadsheet.</t>
  </si>
  <si>
    <r>
      <t xml:space="preserve">How to get Intrinsic Value:    </t>
    </r>
    <r>
      <rPr>
        <sz val="10"/>
        <rFont val="Times New Roman"/>
        <family val="1"/>
      </rPr>
      <t>Click on the yellow cell to be taken to the website.  Enter the ticker symbol for your company in the symbol box.  Click on the "DCF" icon--both are highlited in green on the example  &gt;&gt;&gt;&gt;</t>
    </r>
  </si>
  <si>
    <t>High-yield savings accounts</t>
  </si>
  <si>
    <t>Credit utilization calculator</t>
  </si>
  <si>
    <t>Cash-out refinance rates</t>
  </si>
  <si>
    <t>Credit card compare tool</t>
  </si>
  <si>
    <t>Spender type tool</t>
  </si>
  <si>
    <t>Car insurance guide</t>
  </si>
  <si>
    <t>Homeowners insurance guide</t>
  </si>
  <si>
    <t>All insurance company reviews</t>
  </si>
  <si>
    <t>How to get a mortgage</t>
  </si>
  <si>
    <t>Guide to getting the best mortgage rate</t>
  </si>
  <si>
    <t>Mortgage rate news</t>
  </si>
  <si>
    <t>Refinancing your existing loan</t>
  </si>
  <si>
    <t>Guide to cash-out refinancing</t>
  </si>
  <si>
    <t>How to find the best lender</t>
  </si>
  <si>
    <t>Additional Resources</t>
  </si>
  <si>
    <t>Save the spreadsheet on your computer.  Open the saved copy any time a new company is to be analyzed.  There is no need to download a new copy from my website, unless an error occurs and entering a new ticker symbol does not correct the problem.</t>
  </si>
  <si>
    <t>Real estate</t>
  </si>
  <si>
    <t>Financing a home purchase</t>
  </si>
  <si>
    <t>First-time homebuyers</t>
  </si>
  <si>
    <t>Adjustable-rate mortgages</t>
  </si>
  <si>
    <t>Compare Accounts</t>
  </si>
  <si>
    <t>CD Rates</t>
  </si>
  <si>
    <t>Travel Points &amp; Miles Valuations</t>
  </si>
  <si>
    <t>Personal loan guide</t>
  </si>
  <si>
    <t>Debt consolidation guide</t>
  </si>
  <si>
    <t>Current student loan interest rates</t>
  </si>
  <si>
    <t>FAFSA guide</t>
  </si>
  <si>
    <t>Auto Loans</t>
  </si>
  <si>
    <t>Auto loan refinance rates</t>
  </si>
  <si>
    <t>Current auto loan interest rates</t>
  </si>
  <si>
    <t>Auto loans for bad credit</t>
  </si>
  <si>
    <t>Auto loan guide</t>
  </si>
  <si>
    <t>Auto loans lender reviews</t>
  </si>
  <si>
    <t>Home equity loan calculator</t>
  </si>
  <si>
    <t xml:space="preserve">Real estate overview </t>
  </si>
  <si>
    <t>Selling a home</t>
  </si>
  <si>
    <t>How to sell your house</t>
  </si>
  <si>
    <t>How much is my house worth?</t>
  </si>
  <si>
    <t>Selling your house &amp; buying another</t>
  </si>
  <si>
    <t>Should I sell my house now or wait?</t>
  </si>
  <si>
    <t>Best time to sell a house</t>
  </si>
  <si>
    <t>Costs of selling a house</t>
  </si>
  <si>
    <t>How to sell your house fast</t>
  </si>
  <si>
    <t>Selling your house for cash</t>
  </si>
  <si>
    <t>How to buy a house</t>
  </si>
  <si>
    <t>How much home can I afford?</t>
  </si>
  <si>
    <t>Questions to ask when buying a house</t>
  </si>
  <si>
    <t>Should I buy a house now or wait?</t>
  </si>
  <si>
    <t>Backing out of an accepted offer</t>
  </si>
  <si>
    <t>First time homebuyers guide</t>
  </si>
  <si>
    <t>Home inspection checklist</t>
  </si>
  <si>
    <t>How much do you need to buy a house?</t>
  </si>
  <si>
    <t>Finding the right agent</t>
  </si>
  <si>
    <t>Finding the best real estate agent</t>
  </si>
  <si>
    <t>How do Realtors get paid?</t>
  </si>
  <si>
    <t>Do I need an agent to sell my house?</t>
  </si>
  <si>
    <t>Questions to ask a Realtor</t>
  </si>
  <si>
    <t>Real estate agent vs Realtor vs broker</t>
  </si>
  <si>
    <t>Should I buy a house without an agent?</t>
  </si>
  <si>
    <t>Negotiating real estate commissions</t>
  </si>
  <si>
    <t>Best places to live in the US</t>
  </si>
  <si>
    <t>Cost of living comparison calculator</t>
  </si>
  <si>
    <t>Current housing market trends</t>
  </si>
  <si>
    <t>What is a buyers vs sellers market?</t>
  </si>
  <si>
    <t>How to save for a house</t>
  </si>
  <si>
    <t>Renting vs buying a home?</t>
  </si>
  <si>
    <t>How to invest in real estate</t>
  </si>
  <si>
    <t>Types of houses</t>
  </si>
  <si>
    <t>myBankrate</t>
  </si>
  <si>
    <t>Join Now</t>
  </si>
  <si>
    <t>*Detailed Earnings Estimates</t>
  </si>
  <si>
    <t xml:space="preserve">*Price Target &amp; Stock Forecast </t>
  </si>
  <si>
    <t>Net Income (GAAP)</t>
  </si>
  <si>
    <t>Diluted Net EPS (GAAP)</t>
  </si>
  <si>
    <t>Net Income (gaap)</t>
  </si>
  <si>
    <t>Diluted Net EPS (gaap)</t>
  </si>
  <si>
    <t>Skip to Main Content</t>
  </si>
  <si>
    <t>Amortization schedule calculator</t>
  </si>
  <si>
    <t>Best refinance lenders</t>
  </si>
  <si>
    <t>Best FHA mortgage lenders</t>
  </si>
  <si>
    <t>Looking for a financial advisor?</t>
  </si>
  <si>
    <t>Take our 3 minute quiz and match with an advisor today.</t>
  </si>
  <si>
    <t xml:space="preserve">Find my match </t>
  </si>
  <si>
    <t>Find a financial advisor</t>
  </si>
  <si>
    <t>Best credit cards of 2023</t>
  </si>
  <si>
    <t xml:space="preserve">Find your match </t>
  </si>
  <si>
    <t>Student loan forgiveness guide</t>
  </si>
  <si>
    <t>Auto loan refinancing guide</t>
  </si>
  <si>
    <t>All personal loan calculators</t>
  </si>
  <si>
    <t>All student loan calculators</t>
  </si>
  <si>
    <t>All auto loan calculators</t>
  </si>
  <si>
    <t>Compare car insurance rates</t>
  </si>
  <si>
    <t>Sign In Create Account</t>
  </si>
  <si>
    <t>1. Rates</t>
  </si>
  <si>
    <t>2. Interest Rates</t>
  </si>
  <si>
    <t>3. Treasury securities</t>
  </si>
  <si>
    <t>This Week</t>
  </si>
  <si>
    <t>Month Ago</t>
  </si>
  <si>
    <t>Year Ago</t>
  </si>
  <si>
    <t>Compare Rates</t>
  </si>
  <si>
    <t>Mortgage Rates</t>
  </si>
  <si>
    <t>30 year jumbo</t>
  </si>
  <si>
    <t>See all mortgage</t>
  </si>
  <si>
    <t>HIGH YIELD CD AND MMA RATES</t>
  </si>
  <si>
    <t>6 month CD</t>
  </si>
  <si>
    <t>18 month CD</t>
  </si>
  <si>
    <t>3 year CD</t>
  </si>
  <si>
    <t>3 year jumbo CD</t>
  </si>
  <si>
    <t>MMAs</t>
  </si>
  <si>
    <t>1 year CD</t>
  </si>
  <si>
    <t>2 year CD</t>
  </si>
  <si>
    <t>1 year jumbo CD</t>
  </si>
  <si>
    <t>5 year IRA CD</t>
  </si>
  <si>
    <t>See all CDs</t>
  </si>
  <si>
    <t>Other Rates</t>
  </si>
  <si>
    <t>Savings</t>
  </si>
  <si>
    <t>Student loans</t>
  </si>
  <si>
    <t>Credit union CD</t>
  </si>
  <si>
    <t>Auto</t>
  </si>
  <si>
    <t>Checking</t>
  </si>
  <si>
    <t>Auto refinance</t>
  </si>
  <si>
    <t>Personal loans</t>
  </si>
  <si>
    <t>Prime rate</t>
  </si>
  <si>
    <t xml:space="preserve">Bankrate logo </t>
  </si>
  <si>
    <t xml:space="preserve">About us </t>
  </si>
  <si>
    <t xml:space="preserve">Press room </t>
  </si>
  <si>
    <t xml:space="preserve">Careers </t>
  </si>
  <si>
    <t xml:space="preserve">Advertise with us </t>
  </si>
  <si>
    <t xml:space="preserve">Site map </t>
  </si>
  <si>
    <t xml:space="preserve">Contact us </t>
  </si>
  <si>
    <t xml:space="preserve">Compare rates </t>
  </si>
  <si>
    <t xml:space="preserve">Latest news </t>
  </si>
  <si>
    <t xml:space="preserve">Popular topics </t>
  </si>
  <si>
    <t xml:space="preserve">Privacy policy </t>
  </si>
  <si>
    <t>Cookie settings</t>
  </si>
  <si>
    <t xml:space="preserve">Understanding Bankrate’s averages </t>
  </si>
  <si>
    <t xml:space="preserve">Terms of use </t>
  </si>
  <si>
    <t xml:space="preserve">GLBA annual notice </t>
  </si>
  <si>
    <t xml:space="preserve">California Consumer Financial Privacy Notice </t>
  </si>
  <si>
    <t xml:space="preserve">Licenses </t>
  </si>
  <si>
    <t xml:space="preserve">Bankrate US | UK </t>
  </si>
  <si>
    <t>© 2023 Bankrate, LLC. A Red Ventures company. All Rights Reserved.</t>
  </si>
  <si>
    <t>I acceptX</t>
  </si>
  <si>
    <t>Alternative Energy</t>
  </si>
  <si>
    <t xml:space="preserve">Earning News </t>
  </si>
  <si>
    <t>Cancel Subscription</t>
  </si>
  <si>
    <t>Unsubscribe</t>
  </si>
  <si>
    <t>Copyright 2023 Zacks Investment Research | 10 S Riverside Plaza Suite #1600 | Chicago, IL 60606</t>
  </si>
  <si>
    <t xml:space="preserve">3-Hold of 5     3    </t>
  </si>
  <si>
    <t xml:space="preserve">   </t>
  </si>
  <si>
    <t>(Delayed Data from NSDQ)</t>
  </si>
  <si>
    <t>(delayed data from nsdq)</t>
  </si>
  <si>
    <t>Bankrate.com is an independent, advertising-supported publisher and comparison service. We are compensated in exchange for placement of sponsored products and, services, or by you clicking on certain links posted on our site. Therefore, this compensation may impact how, where and in what order products appear within listing categories, except where prohibited by law for our mortgage, home equity and other home lending products. Other factors, such as our own proprietary website rules and whether a product is offered in your area or at your self-selected credit score range can also impact how and where products appear on this site. While we strive to provide a wide range offers, Bankrate does not include information about every financial or credit product or service.</t>
  </si>
  <si>
    <t>At the center of everything we do is a strong commitment to independent research and sharing its profitable discoveries with investors. This dedication to giving investors a trading advantage led to the creation of our proven Zacks Rank stock-rating system. Since 1988 it has more than doubled the S&amp;P 500 with an average gain of +24.28% per year. These returns cover a period from January 1, 1988 through January 2, 2023. Zacks Rank stock-rating system returns are computed monthly based on the beginning of the month and end of the month Zacks Rank stock prices plus any dividends received during that particular month. A simple, equally-weighted average return of all Zacks Rank stocks is calculated to determine the monthly return. The monthly returns are then compounded to arrive at the annual return. Only Zacks Rank stocks included in Zacks hypothetical portfolios at the beginning of each month are included in the return calculations. Zacks Ranks stocks can, and often do, change throughout the month. Certain Zacks Rank stocks for which no month-end price was available, pricing information was not collected, or for certain other reasons have been excluded from these return calculations.</t>
  </si>
  <si>
    <t>Real time prices by BATS. Delayed quotes by FIS.</t>
  </si>
  <si>
    <t>Car Insurance</t>
  </si>
  <si>
    <t>The true cost of auto insurance in 2023</t>
  </si>
  <si>
    <t>Updated Feb 17, 2023 04:00 PM ET</t>
  </si>
  <si>
    <t>Apple (AAPL)</t>
  </si>
  <si>
    <t>$152.55 USD</t>
  </si>
  <si>
    <t>-1.16 (-0.75%)</t>
  </si>
  <si>
    <t>After-Market: $152.60 +0.05 (0.03%) 7:58 PM ET</t>
  </si>
  <si>
    <t>D Value | A Growth | F Momentum | B VGM</t>
  </si>
  <si>
    <t>Bottom 22% (195 out of 251)</t>
  </si>
  <si>
    <t>Industry: Computer - Mini computers</t>
  </si>
  <si>
    <t xml:space="preserve">Apple (AAPL) Quote Overview » Financials » Apple (AAPL) Balance Sheet </t>
  </si>
  <si>
    <t>Research for AAPL</t>
  </si>
  <si>
    <t>Fiscal Year End for Apple Inc falls in the month of September.</t>
  </si>
  <si>
    <t xml:space="preserve">Apple (AAPL) Quote Overview » Financials » Apple (AAPL) Income Statements </t>
  </si>
  <si>
    <t>Fiscal Year end for Apple Inc falls in the month of September.</t>
  </si>
  <si>
    <t>NA</t>
  </si>
  <si>
    <t xml:space="preserve">Apple (AAPL) Quote Overview » Financials » Apple (AAPL) Cash flow Statements </t>
  </si>
  <si>
    <t>(Real Time Quote from BATS)</t>
  </si>
  <si>
    <t>Treasury securities Updated: 2023-03-01</t>
  </si>
  <si>
    <t>D Value | A Growth | C Momentum | B VGM</t>
  </si>
  <si>
    <t>Bottom 25% (188 out of 250)</t>
  </si>
  <si>
    <t>version 9.54</t>
  </si>
  <si>
    <t>$144.16 USD</t>
  </si>
  <si>
    <t>-1.15 (-0.79%)</t>
  </si>
  <si>
    <t>Updated Mar 2, 2023 11:48 AM 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</si>
</sst>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0_)"/>
    <numFmt numFmtId="165" formatCode="0.0"/>
    <numFmt numFmtId="166" formatCode="_(* #,##0.0_);_(* \(#,##0.0\);_(* &quot;-&quot;??_);_(@_)"/>
    <numFmt numFmtId="167" formatCode="_(* #,##0_);_(* \(#,##0\);_(* &quot;-&quot;??_);_(@_)"/>
    <numFmt numFmtId="168" formatCode="&quot;$&quot;#,##0.00"/>
    <numFmt numFmtId="169" formatCode="&quot;$&quot;#,##0"/>
    <numFmt numFmtId="170" formatCode="0.0%"/>
    <numFmt numFmtId="171" formatCode="[$-409]mmm\-yy;@"/>
    <numFmt numFmtId="172" formatCode="[$-409]d\-mmm\-yyyy;@"/>
    <numFmt numFmtId="173" formatCode="#,##0.0_);\(#,##0.0\)"/>
    <numFmt numFmtId="174" formatCode="[$-409]d\-mmm\-yy;@"/>
    <numFmt numFmtId="175" formatCode="[$-409]mmmm\-yy;@"/>
    <numFmt numFmtId="176" formatCode="_(* #,##0.0000_);_(* \(#,##0.0000\);_(* &quot;-&quot;??_);_(@_)"/>
    <numFmt numFmtId="177" formatCode="#,##0.0_);[Red]\(#,##0.0\)"/>
    <numFmt numFmtId="178" formatCode="m/d/yy;@"/>
  </numFmts>
  <fonts count="182" x14ac:knownFonts="1">
    <font>
      <sz val="10"/>
      <name val="Courier"/>
    </font>
    <font>
      <sz val="10"/>
      <name val="Arial"/>
      <family val="2"/>
    </font>
    <font>
      <sz val="10"/>
      <name val="Arial"/>
      <family val="2"/>
    </font>
    <font>
      <sz val="10"/>
      <color indexed="12"/>
      <name val="Arial"/>
      <family val="2"/>
    </font>
    <font>
      <sz val="10"/>
      <name val="Times New Roman"/>
      <family val="1"/>
    </font>
    <font>
      <sz val="8"/>
      <name val="Times New Roman"/>
      <family val="1"/>
    </font>
    <font>
      <sz val="9"/>
      <name val="Times New Roman"/>
      <family val="1"/>
    </font>
    <font>
      <b/>
      <sz val="10"/>
      <name val="Times New Roman"/>
      <family val="1"/>
    </font>
    <font>
      <b/>
      <sz val="10"/>
      <color indexed="16"/>
      <name val="Times New Roman"/>
      <family val="1"/>
    </font>
    <font>
      <sz val="9"/>
      <color indexed="17"/>
      <name val="Times New Roman"/>
      <family val="1"/>
    </font>
    <font>
      <sz val="8"/>
      <color indexed="8"/>
      <name val="Times New Roman"/>
      <family val="1"/>
    </font>
    <font>
      <sz val="10"/>
      <color indexed="8"/>
      <name val="Times New Roman"/>
      <family val="1"/>
    </font>
    <font>
      <b/>
      <sz val="8"/>
      <name val="Times New Roman"/>
      <family val="1"/>
    </font>
    <font>
      <b/>
      <sz val="9"/>
      <color indexed="16"/>
      <name val="Times New Roman"/>
      <family val="1"/>
    </font>
    <font>
      <sz val="10"/>
      <name val="Arial Narrow"/>
      <family val="2"/>
    </font>
    <font>
      <b/>
      <sz val="10"/>
      <name val="Times New Roman"/>
      <family val="1"/>
    </font>
    <font>
      <sz val="10"/>
      <color indexed="16"/>
      <name val="Times New Roman"/>
      <family val="1"/>
    </font>
    <font>
      <b/>
      <sz val="10"/>
      <color indexed="16"/>
      <name val="Times New Roman"/>
      <family val="1"/>
    </font>
    <font>
      <sz val="9"/>
      <color indexed="16"/>
      <name val="Times New Roman"/>
      <family val="1"/>
    </font>
    <font>
      <sz val="9"/>
      <name val="Arial"/>
      <family val="2"/>
    </font>
    <font>
      <sz val="9"/>
      <color indexed="10"/>
      <name val="Times New Roman"/>
      <family val="1"/>
    </font>
    <font>
      <sz val="10"/>
      <color indexed="10"/>
      <name val="Arial"/>
      <family val="2"/>
    </font>
    <font>
      <sz val="10"/>
      <name val="Times New Roman"/>
      <family val="1"/>
    </font>
    <font>
      <u/>
      <sz val="7.5"/>
      <color indexed="12"/>
      <name val="Courier"/>
      <family val="3"/>
    </font>
    <font>
      <b/>
      <sz val="10"/>
      <name val="Times New Roman"/>
      <family val="1"/>
    </font>
    <font>
      <b/>
      <sz val="10"/>
      <name val="Arial"/>
      <family val="2"/>
    </font>
    <font>
      <b/>
      <sz val="10"/>
      <color indexed="16"/>
      <name val="Times New Roman"/>
      <family val="1"/>
    </font>
    <font>
      <sz val="8"/>
      <name val="Arial"/>
      <family val="2"/>
    </font>
    <font>
      <sz val="10"/>
      <color indexed="16"/>
      <name val="Times New Roman"/>
      <family val="1"/>
    </font>
    <font>
      <sz val="9"/>
      <color indexed="16"/>
      <name val="Times New Roman"/>
      <family val="1"/>
    </font>
    <font>
      <sz val="8"/>
      <color indexed="17"/>
      <name val="Times New Roman"/>
      <family val="1"/>
    </font>
    <font>
      <sz val="8"/>
      <color indexed="17"/>
      <name val="Arial"/>
      <family val="2"/>
    </font>
    <font>
      <b/>
      <sz val="9"/>
      <color indexed="8"/>
      <name val="Times New Roman"/>
      <family val="1"/>
    </font>
    <font>
      <sz val="8"/>
      <name val="Times New Roman"/>
      <family val="1"/>
    </font>
    <font>
      <b/>
      <sz val="8"/>
      <name val="Times New Roman"/>
      <family val="1"/>
    </font>
    <font>
      <sz val="9"/>
      <color indexed="14"/>
      <name val="Times New Roman"/>
      <family val="1"/>
    </font>
    <font>
      <b/>
      <u/>
      <sz val="11"/>
      <name val="Times New Roman"/>
      <family val="1"/>
    </font>
    <font>
      <sz val="9"/>
      <color indexed="10"/>
      <name val="Arial"/>
      <family val="2"/>
    </font>
    <font>
      <sz val="7"/>
      <name val="Times New Roman"/>
      <family val="1"/>
    </font>
    <font>
      <b/>
      <sz val="10"/>
      <color indexed="53"/>
      <name val="Times New Roman"/>
      <family val="1"/>
    </font>
    <font>
      <sz val="10"/>
      <color indexed="60"/>
      <name val="Times New Roman"/>
      <family val="1"/>
    </font>
    <font>
      <b/>
      <sz val="9"/>
      <color indexed="16"/>
      <name val="Times New Roman"/>
      <family val="1"/>
    </font>
    <font>
      <sz val="10"/>
      <color indexed="52"/>
      <name val="Times New Roman"/>
      <family val="1"/>
    </font>
    <font>
      <sz val="10"/>
      <color indexed="52"/>
      <name val="Arial"/>
      <family val="2"/>
    </font>
    <font>
      <sz val="9"/>
      <name val="Arial"/>
      <family val="2"/>
    </font>
    <font>
      <sz val="8"/>
      <color indexed="81"/>
      <name val="Tahoma"/>
      <family val="2"/>
    </font>
    <font>
      <sz val="9"/>
      <color indexed="81"/>
      <name val="Tahoma"/>
      <family val="2"/>
    </font>
    <font>
      <b/>
      <sz val="10"/>
      <color indexed="8"/>
      <name val="Times New Roman"/>
      <family val="1"/>
    </font>
    <font>
      <sz val="11"/>
      <color indexed="53"/>
      <name val="Times New Roman"/>
      <family val="1"/>
    </font>
    <font>
      <b/>
      <i/>
      <sz val="12"/>
      <name val="Arial"/>
      <family val="2"/>
    </font>
    <font>
      <sz val="9"/>
      <color indexed="12"/>
      <name val="Arial"/>
      <family val="2"/>
    </font>
    <font>
      <sz val="8"/>
      <color indexed="12"/>
      <name val="Arial"/>
      <family val="2"/>
    </font>
    <font>
      <sz val="9"/>
      <color indexed="16"/>
      <name val="Arial"/>
      <family val="2"/>
    </font>
    <font>
      <sz val="8"/>
      <name val="Courier"/>
      <family val="3"/>
    </font>
    <font>
      <sz val="10"/>
      <name val="Arial"/>
      <family val="2"/>
    </font>
    <font>
      <sz val="9"/>
      <color indexed="52"/>
      <name val="Arial"/>
      <family val="2"/>
    </font>
    <font>
      <b/>
      <sz val="10"/>
      <name val="Arial Black"/>
      <family val="2"/>
    </font>
    <font>
      <b/>
      <u/>
      <sz val="10"/>
      <name val="Arial"/>
      <family val="2"/>
    </font>
    <font>
      <b/>
      <sz val="14"/>
      <color indexed="9"/>
      <name val="Arial"/>
      <family val="2"/>
    </font>
    <font>
      <b/>
      <sz val="10"/>
      <color indexed="48"/>
      <name val="Arial Black"/>
      <family val="2"/>
    </font>
    <font>
      <b/>
      <sz val="9"/>
      <name val="Arial"/>
      <family val="2"/>
    </font>
    <font>
      <b/>
      <sz val="14"/>
      <color indexed="12"/>
      <name val="Arial"/>
      <family val="2"/>
    </font>
    <font>
      <b/>
      <sz val="10"/>
      <color indexed="57"/>
      <name val="Arial"/>
      <family val="2"/>
    </font>
    <font>
      <sz val="9"/>
      <color indexed="60"/>
      <name val="Times New Roman"/>
      <family val="1"/>
    </font>
    <font>
      <b/>
      <sz val="9"/>
      <color indexed="17"/>
      <name val="Arial"/>
      <family val="2"/>
    </font>
    <font>
      <b/>
      <sz val="12"/>
      <name val="Arial"/>
      <family val="2"/>
    </font>
    <font>
      <sz val="12"/>
      <name val="Arial Black"/>
      <family val="2"/>
    </font>
    <font>
      <u/>
      <sz val="10"/>
      <color indexed="12"/>
      <name val="Arial Black"/>
      <family val="2"/>
    </font>
    <font>
      <sz val="10"/>
      <name val="Courier"/>
      <family val="3"/>
    </font>
    <font>
      <u/>
      <sz val="10"/>
      <name val="Arial"/>
      <family val="2"/>
    </font>
    <font>
      <sz val="9"/>
      <color indexed="53"/>
      <name val="Times New Roman"/>
      <family val="1"/>
    </font>
    <font>
      <sz val="12"/>
      <name val="Times New Roman"/>
      <family val="1"/>
    </font>
    <font>
      <u/>
      <sz val="10"/>
      <name val="Courier"/>
      <family val="3"/>
    </font>
    <font>
      <sz val="10"/>
      <color indexed="12"/>
      <name val="Arial Narrow"/>
      <family val="2"/>
    </font>
    <font>
      <sz val="10"/>
      <color indexed="12"/>
      <name val="Arial Black"/>
      <family val="2"/>
    </font>
    <font>
      <sz val="9"/>
      <color indexed="60"/>
      <name val="Arial"/>
      <family val="2"/>
    </font>
    <font>
      <b/>
      <sz val="11"/>
      <color indexed="12"/>
      <name val="Arial"/>
      <family val="2"/>
    </font>
    <font>
      <i/>
      <sz val="10"/>
      <name val="Arial"/>
      <family val="2"/>
    </font>
    <font>
      <sz val="7.5"/>
      <color indexed="12"/>
      <name val="Courier"/>
      <family val="3"/>
    </font>
    <font>
      <sz val="8"/>
      <name val="Courier"/>
      <family val="3"/>
    </font>
    <font>
      <sz val="10"/>
      <color indexed="12"/>
      <name val="Calibri"/>
      <family val="2"/>
    </font>
    <font>
      <b/>
      <sz val="10"/>
      <color indexed="53"/>
      <name val="Arial"/>
      <family val="2"/>
    </font>
    <font>
      <sz val="10"/>
      <color indexed="52"/>
      <name val="Courier"/>
      <family val="3"/>
    </font>
    <font>
      <sz val="10"/>
      <color indexed="61"/>
      <name val="Arial"/>
      <family val="2"/>
    </font>
    <font>
      <b/>
      <i/>
      <sz val="10"/>
      <color indexed="61"/>
      <name val="Arial"/>
      <family val="2"/>
    </font>
    <font>
      <b/>
      <sz val="14"/>
      <color indexed="53"/>
      <name val="Arial"/>
      <family val="2"/>
    </font>
    <font>
      <b/>
      <sz val="14"/>
      <color indexed="57"/>
      <name val="Arial"/>
      <family val="2"/>
    </font>
    <font>
      <sz val="7.5"/>
      <color indexed="12"/>
      <name val="Arial"/>
      <family val="2"/>
    </font>
    <font>
      <b/>
      <sz val="9"/>
      <color indexed="60"/>
      <name val="Arial"/>
      <family val="2"/>
    </font>
    <font>
      <sz val="10"/>
      <color indexed="81"/>
      <name val="Tahoma"/>
      <family val="2"/>
    </font>
    <font>
      <b/>
      <sz val="9"/>
      <name val="Times New Roman"/>
      <family val="1"/>
    </font>
    <font>
      <b/>
      <sz val="9"/>
      <color indexed="53"/>
      <name val="Arial"/>
      <family val="2"/>
    </font>
    <font>
      <sz val="10"/>
      <color indexed="60"/>
      <name val="Arial"/>
      <family val="2"/>
    </font>
    <font>
      <i/>
      <sz val="11"/>
      <name val="Arial Narrow"/>
      <family val="2"/>
    </font>
    <font>
      <sz val="8"/>
      <name val="Courier"/>
      <family val="3"/>
    </font>
    <font>
      <b/>
      <sz val="14"/>
      <color indexed="10"/>
      <name val="Arial"/>
      <family val="2"/>
    </font>
    <font>
      <b/>
      <sz val="16"/>
      <name val="Arial Narrow"/>
      <family val="2"/>
    </font>
    <font>
      <sz val="11"/>
      <color indexed="81"/>
      <name val="Arial"/>
      <family val="2"/>
    </font>
    <font>
      <b/>
      <sz val="12"/>
      <color indexed="57"/>
      <name val="Arial"/>
      <family val="2"/>
    </font>
    <font>
      <sz val="8"/>
      <name val="Courier"/>
      <family val="3"/>
    </font>
    <font>
      <u/>
      <sz val="7.5"/>
      <color indexed="9"/>
      <name val="Courier"/>
      <family val="3"/>
    </font>
    <font>
      <sz val="7.5"/>
      <color indexed="9"/>
      <name val="Courier"/>
      <family val="3"/>
    </font>
    <font>
      <sz val="7.5"/>
      <color indexed="9"/>
      <name val="Arial"/>
      <family val="2"/>
    </font>
    <font>
      <sz val="10"/>
      <color indexed="16"/>
      <name val="Arial"/>
      <family val="2"/>
    </font>
    <font>
      <sz val="9"/>
      <name val="Arial Narrow"/>
      <family val="2"/>
    </font>
    <font>
      <b/>
      <sz val="10"/>
      <color indexed="81"/>
      <name val="Tahoma"/>
      <family val="2"/>
    </font>
    <font>
      <b/>
      <sz val="11"/>
      <color indexed="81"/>
      <name val="Arial"/>
      <family val="2"/>
    </font>
    <font>
      <sz val="9"/>
      <color indexed="17"/>
      <name val="Times New Roman"/>
      <family val="1"/>
    </font>
    <font>
      <b/>
      <sz val="12"/>
      <color indexed="17"/>
      <name val="Arial"/>
      <family val="2"/>
    </font>
    <font>
      <b/>
      <sz val="11"/>
      <color indexed="17"/>
      <name val="Arial"/>
      <family val="2"/>
    </font>
    <font>
      <b/>
      <sz val="11"/>
      <name val="Arial Narrow"/>
      <family val="2"/>
    </font>
    <font>
      <b/>
      <sz val="8"/>
      <color indexed="60"/>
      <name val="Arial"/>
      <family val="2"/>
    </font>
    <font>
      <b/>
      <sz val="10"/>
      <color indexed="60"/>
      <name val="Arial"/>
      <family val="2"/>
    </font>
    <font>
      <b/>
      <sz val="10"/>
      <color indexed="60"/>
      <name val="Times New Roman"/>
      <family val="1"/>
    </font>
    <font>
      <sz val="12"/>
      <color indexed="17"/>
      <name val="Times New Roman"/>
      <family val="1"/>
    </font>
    <font>
      <b/>
      <sz val="9"/>
      <color indexed="61"/>
      <name val="Arial"/>
      <family val="2"/>
    </font>
    <font>
      <sz val="8"/>
      <name val="Courier"/>
      <family val="3"/>
    </font>
    <font>
      <sz val="11"/>
      <name val="Arial Black"/>
      <family val="2"/>
    </font>
    <font>
      <b/>
      <sz val="10"/>
      <name val="Arial Narrow"/>
      <family val="2"/>
    </font>
    <font>
      <b/>
      <sz val="9"/>
      <color indexed="53"/>
      <name val="Times New Roman"/>
      <family val="1"/>
    </font>
    <font>
      <b/>
      <sz val="9"/>
      <color indexed="60"/>
      <name val="Arial"/>
      <family val="2"/>
    </font>
    <font>
      <b/>
      <sz val="10"/>
      <color indexed="10"/>
      <name val="Arial"/>
      <family val="2"/>
    </font>
    <font>
      <b/>
      <sz val="8"/>
      <color indexed="81"/>
      <name val="Tahoma"/>
      <family val="2"/>
    </font>
    <font>
      <sz val="11"/>
      <name val="Arial"/>
      <family val="2"/>
    </font>
    <font>
      <b/>
      <sz val="12"/>
      <name val="Arial Narrow"/>
      <family val="2"/>
    </font>
    <font>
      <b/>
      <sz val="12"/>
      <color indexed="17"/>
      <name val="Arial Narrow"/>
      <family val="2"/>
    </font>
    <font>
      <sz val="10"/>
      <color indexed="9"/>
      <name val="Times New Roman"/>
      <family val="1"/>
    </font>
    <font>
      <b/>
      <sz val="10"/>
      <color indexed="55"/>
      <name val="Arial"/>
      <family val="2"/>
    </font>
    <font>
      <sz val="12"/>
      <color indexed="60"/>
      <name val="Arial Narrow"/>
      <family val="2"/>
    </font>
    <font>
      <sz val="12"/>
      <color indexed="10"/>
      <name val="Arial"/>
      <family val="2"/>
    </font>
    <font>
      <sz val="12"/>
      <name val="Arial"/>
      <family val="2"/>
    </font>
    <font>
      <b/>
      <sz val="14"/>
      <name val="Arial"/>
      <family val="2"/>
    </font>
    <font>
      <b/>
      <sz val="11"/>
      <color indexed="55"/>
      <name val="Arial Narrow"/>
      <family val="2"/>
    </font>
    <font>
      <b/>
      <sz val="10"/>
      <color indexed="12"/>
      <name val="Arial Unicode MS"/>
      <family val="2"/>
    </font>
    <font>
      <sz val="10"/>
      <name val="Arial Unicode MS"/>
      <family val="2"/>
    </font>
    <font>
      <b/>
      <sz val="10"/>
      <color indexed="60"/>
      <name val="Arial"/>
      <family val="2"/>
    </font>
    <font>
      <b/>
      <sz val="10"/>
      <color indexed="60"/>
      <name val="Times New Roman"/>
      <family val="1"/>
    </font>
    <font>
      <b/>
      <sz val="10"/>
      <name val="Arial Unicode MS"/>
      <family val="2"/>
    </font>
    <font>
      <sz val="10"/>
      <color indexed="10"/>
      <name val="Arial Unicode MS"/>
      <family val="2"/>
    </font>
    <font>
      <sz val="10"/>
      <color rgb="FFFF0000"/>
      <name val="Arial Unicode MS"/>
      <family val="2"/>
    </font>
    <font>
      <sz val="10"/>
      <color indexed="9"/>
      <name val="Arial Unicode MS"/>
      <family val="2"/>
    </font>
    <font>
      <b/>
      <sz val="10"/>
      <color indexed="13"/>
      <name val="Arial Unicode MS"/>
      <family val="2"/>
    </font>
    <font>
      <sz val="10"/>
      <color theme="0" tint="-0.14999847407452621"/>
      <name val="Arial"/>
      <family val="2"/>
    </font>
    <font>
      <i/>
      <sz val="9"/>
      <name val="Times New Roman"/>
      <family val="1"/>
    </font>
    <font>
      <b/>
      <sz val="9"/>
      <color indexed="12"/>
      <name val="Arial Narrow"/>
      <family val="2"/>
    </font>
    <font>
      <sz val="9"/>
      <color indexed="12"/>
      <name val="Calibri"/>
      <family val="2"/>
      <scheme val="minor"/>
    </font>
    <font>
      <sz val="9"/>
      <color rgb="FF0070C0"/>
      <name val="Calibri"/>
      <family val="2"/>
      <scheme val="minor"/>
    </font>
    <font>
      <sz val="10"/>
      <color rgb="FF0070C0"/>
      <name val="Calibri"/>
      <family val="2"/>
      <scheme val="minor"/>
    </font>
    <font>
      <b/>
      <sz val="10"/>
      <color rgb="FFFF0000"/>
      <name val="Arial Unicode MS"/>
      <family val="2"/>
    </font>
    <font>
      <b/>
      <sz val="8"/>
      <color indexed="8"/>
      <name val="Verdana"/>
      <family val="2"/>
    </font>
    <font>
      <b/>
      <sz val="10"/>
      <name val="Calibri"/>
      <family val="2"/>
      <scheme val="minor"/>
    </font>
    <font>
      <b/>
      <sz val="11"/>
      <name val="Arial"/>
      <family val="2"/>
    </font>
    <font>
      <b/>
      <sz val="11"/>
      <color rgb="FFFF0000"/>
      <name val="Arial"/>
      <family val="2"/>
    </font>
    <font>
      <b/>
      <sz val="11"/>
      <color rgb="FFFF0000"/>
      <name val="Calibri"/>
      <family val="2"/>
    </font>
    <font>
      <sz val="10"/>
      <color rgb="FF242729"/>
      <name val="Consolas"/>
      <family val="3"/>
    </font>
    <font>
      <sz val="12"/>
      <name val="Arial Unicode MS"/>
      <family val="2"/>
    </font>
    <font>
      <b/>
      <sz val="12"/>
      <name val="Times New Roman"/>
      <family val="1"/>
    </font>
    <font>
      <sz val="10"/>
      <color rgb="FFC00000"/>
      <name val="Arial Unicode MS"/>
      <family val="2"/>
    </font>
    <font>
      <b/>
      <sz val="10"/>
      <color theme="9" tint="-0.499984740745262"/>
      <name val="Arial Unicode MS"/>
      <family val="2"/>
    </font>
    <font>
      <b/>
      <sz val="10"/>
      <color indexed="8"/>
      <name val="Verdana"/>
      <family val="2"/>
    </font>
    <font>
      <sz val="12"/>
      <color rgb="FF000000"/>
      <name val="Arial"/>
      <family val="2"/>
    </font>
    <font>
      <b/>
      <sz val="12"/>
      <color rgb="FF000000"/>
      <name val="Arial"/>
      <family val="2"/>
    </font>
    <font>
      <sz val="10"/>
      <color rgb="FFFF0000"/>
      <name val="Courier"/>
      <family val="3"/>
    </font>
    <font>
      <sz val="7.5"/>
      <color theme="0"/>
      <name val="Courier"/>
      <family val="3"/>
    </font>
    <font>
      <b/>
      <sz val="9"/>
      <color indexed="23"/>
      <name val="Arial"/>
      <family val="2"/>
    </font>
    <font>
      <b/>
      <sz val="8"/>
      <color indexed="23"/>
      <name val="Arial Narrow"/>
      <family val="2"/>
    </font>
    <font>
      <b/>
      <sz val="14"/>
      <name val="Arial Narrow"/>
      <family val="2"/>
    </font>
    <font>
      <sz val="10"/>
      <color rgb="FF009900"/>
      <name val="Arial Unicode MS"/>
      <family val="2"/>
    </font>
    <font>
      <u/>
      <sz val="7.5"/>
      <color theme="0"/>
      <name val="Courier"/>
      <family val="3"/>
    </font>
    <font>
      <b/>
      <sz val="12"/>
      <color indexed="23"/>
      <name val="Arial"/>
      <family val="2"/>
    </font>
    <font>
      <sz val="10"/>
      <color theme="0"/>
      <name val="Arial"/>
      <family val="2"/>
    </font>
    <font>
      <sz val="10"/>
      <color rgb="FFFF0000"/>
      <name val="Arial"/>
      <family val="2"/>
    </font>
    <font>
      <sz val="9"/>
      <color rgb="FFC00000"/>
      <name val="Times New Roman"/>
      <family val="1"/>
    </font>
    <font>
      <sz val="9"/>
      <color rgb="FFFF0000"/>
      <name val="Arial"/>
      <family val="2"/>
    </font>
    <font>
      <b/>
      <sz val="10"/>
      <color theme="0"/>
      <name val="Arial Unicode MS"/>
      <family val="2"/>
    </font>
    <font>
      <b/>
      <sz val="11"/>
      <color indexed="9"/>
      <name val="Arial"/>
      <family val="2"/>
    </font>
    <font>
      <b/>
      <sz val="10"/>
      <color theme="3" tint="0.39997558519241921"/>
      <name val="Arial Narrow"/>
      <family val="2"/>
    </font>
    <font>
      <b/>
      <sz val="10"/>
      <color indexed="12"/>
      <name val="Arial Narrow"/>
      <family val="2"/>
    </font>
    <font>
      <b/>
      <sz val="14"/>
      <color rgb="FFC00000"/>
      <name val="Arial"/>
      <family val="2"/>
    </font>
    <font>
      <b/>
      <sz val="10"/>
      <color indexed="23"/>
      <name val="Arial"/>
      <family val="2"/>
    </font>
    <font>
      <b/>
      <sz val="11"/>
      <color theme="3" tint="0.39997558519241921"/>
      <name val="Arial Narrow"/>
      <family val="2"/>
    </font>
    <font>
      <b/>
      <sz val="10"/>
      <color rgb="FFFF0000"/>
      <name val="Arial"/>
      <family val="2"/>
    </font>
  </fonts>
  <fills count="2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
      <patternFill patternType="solid">
        <fgColor indexed="11"/>
        <bgColor indexed="64"/>
      </patternFill>
    </fill>
    <fill>
      <patternFill patternType="solid">
        <fgColor indexed="50"/>
        <bgColor indexed="64"/>
      </patternFill>
    </fill>
    <fill>
      <patternFill patternType="solid">
        <fgColor indexed="42"/>
        <bgColor indexed="64"/>
      </patternFill>
    </fill>
    <fill>
      <patternFill patternType="solid">
        <fgColor indexed="13"/>
        <bgColor indexed="64"/>
      </patternFill>
    </fill>
    <fill>
      <patternFill patternType="solid">
        <fgColor indexed="48"/>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45"/>
        <bgColor indexed="64"/>
      </patternFill>
    </fill>
    <fill>
      <patternFill patternType="solid">
        <fgColor indexed="60"/>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FF99"/>
        <bgColor indexed="64"/>
      </patternFill>
    </fill>
    <fill>
      <patternFill patternType="solid">
        <fgColor rgb="FFCC66FF"/>
        <bgColor indexed="64"/>
      </patternFill>
    </fill>
    <fill>
      <patternFill patternType="solid">
        <fgColor rgb="FFFF0000"/>
        <bgColor indexed="64"/>
      </patternFill>
    </fill>
    <fill>
      <patternFill patternType="solid">
        <fgColor rgb="FF00B050"/>
        <bgColor indexed="64"/>
      </patternFill>
    </fill>
    <fill>
      <patternFill patternType="solid">
        <fgColor theme="9" tint="0.79998168889431442"/>
        <bgColor indexed="64"/>
      </patternFill>
    </fill>
    <fill>
      <patternFill patternType="solid">
        <fgColor rgb="FFBEDEAC"/>
        <bgColor indexed="64"/>
      </patternFill>
    </fill>
  </fills>
  <borders count="18">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633">
    <xf numFmtId="0" fontId="0" fillId="0" borderId="0" xfId="0"/>
    <xf numFmtId="0" fontId="2" fillId="0" borderId="0" xfId="0" applyFont="1"/>
    <xf numFmtId="0" fontId="4" fillId="0" borderId="0" xfId="0" applyFont="1"/>
    <xf numFmtId="0" fontId="5"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0" fontId="5" fillId="0" borderId="0" xfId="0" applyFont="1"/>
    <xf numFmtId="5" fontId="4" fillId="0" borderId="0" xfId="0" applyNumberFormat="1" applyFont="1"/>
    <xf numFmtId="17" fontId="4" fillId="0" borderId="0" xfId="0" applyNumberFormat="1" applyFont="1"/>
    <xf numFmtId="0" fontId="9" fillId="2" borderId="1" xfId="0" applyFont="1" applyFill="1" applyBorder="1" applyAlignment="1">
      <alignment horizontal="left"/>
    </xf>
    <xf numFmtId="0" fontId="9" fillId="2" borderId="2" xfId="0" applyFont="1" applyFill="1" applyBorder="1" applyAlignment="1">
      <alignment horizontal="left"/>
    </xf>
    <xf numFmtId="0" fontId="9" fillId="2" borderId="1" xfId="0" applyFont="1" applyFill="1" applyBorder="1"/>
    <xf numFmtId="0" fontId="9" fillId="2" borderId="3" xfId="0" applyFont="1" applyFill="1" applyBorder="1" applyAlignment="1">
      <alignment horizontal="left"/>
    </xf>
    <xf numFmtId="0" fontId="4" fillId="0" borderId="3" xfId="0" applyFont="1" applyBorder="1"/>
    <xf numFmtId="5" fontId="10" fillId="0" borderId="0" xfId="0" applyNumberFormat="1" applyFont="1" applyAlignment="1">
      <alignment horizontal="right"/>
    </xf>
    <xf numFmtId="0" fontId="20" fillId="2" borderId="4" xfId="0" applyFont="1" applyFill="1" applyBorder="1" applyAlignment="1">
      <alignment horizontal="left"/>
    </xf>
    <xf numFmtId="0" fontId="4" fillId="3" borderId="5" xfId="0" applyFont="1" applyFill="1" applyBorder="1"/>
    <xf numFmtId="5" fontId="4" fillId="3" borderId="5" xfId="0" applyNumberFormat="1" applyFont="1" applyFill="1" applyBorder="1"/>
    <xf numFmtId="0" fontId="4" fillId="3" borderId="5" xfId="0" applyFont="1" applyFill="1" applyBorder="1" applyAlignment="1">
      <alignment horizontal="right"/>
    </xf>
    <xf numFmtId="5" fontId="11" fillId="3" borderId="5" xfId="0" applyNumberFormat="1" applyFont="1" applyFill="1" applyBorder="1"/>
    <xf numFmtId="0" fontId="11" fillId="3" borderId="5" xfId="0" applyFont="1" applyFill="1" applyBorder="1" applyAlignment="1">
      <alignment horizontal="right"/>
    </xf>
    <xf numFmtId="0" fontId="7" fillId="3" borderId="6" xfId="0" applyFont="1" applyFill="1" applyBorder="1" applyAlignment="1">
      <alignment horizontal="left"/>
    </xf>
    <xf numFmtId="0" fontId="7" fillId="3" borderId="4" xfId="0" applyFont="1" applyFill="1" applyBorder="1" applyAlignment="1">
      <alignment horizontal="left"/>
    </xf>
    <xf numFmtId="0" fontId="7" fillId="3" borderId="4" xfId="0" applyFont="1" applyFill="1" applyBorder="1"/>
    <xf numFmtId="0" fontId="7" fillId="3" borderId="6" xfId="0" applyFont="1" applyFill="1" applyBorder="1"/>
    <xf numFmtId="0" fontId="6" fillId="4" borderId="3" xfId="0" applyFont="1" applyFill="1" applyBorder="1" applyAlignment="1">
      <alignment horizontal="left"/>
    </xf>
    <xf numFmtId="0" fontId="6" fillId="4" borderId="2" xfId="0" applyFont="1" applyFill="1" applyBorder="1" applyAlignment="1">
      <alignment horizontal="left"/>
    </xf>
    <xf numFmtId="0" fontId="6" fillId="4" borderId="4" xfId="0" applyFont="1" applyFill="1" applyBorder="1" applyAlignment="1">
      <alignment horizontal="left"/>
    </xf>
    <xf numFmtId="0" fontId="6" fillId="4" borderId="1" xfId="0" applyFont="1" applyFill="1" applyBorder="1" applyAlignment="1">
      <alignment horizontal="left"/>
    </xf>
    <xf numFmtId="0" fontId="2" fillId="3" borderId="5" xfId="0" applyFont="1" applyFill="1" applyBorder="1"/>
    <xf numFmtId="9" fontId="22" fillId="3" borderId="5" xfId="0" applyNumberFormat="1" applyFont="1" applyFill="1" applyBorder="1" applyAlignment="1">
      <alignment horizontal="left"/>
    </xf>
    <xf numFmtId="1" fontId="32" fillId="0" borderId="0" xfId="0" applyNumberFormat="1" applyFont="1" applyAlignment="1">
      <alignment horizontal="left"/>
    </xf>
    <xf numFmtId="0" fontId="33" fillId="0" borderId="0" xfId="0" applyFont="1"/>
    <xf numFmtId="0" fontId="34" fillId="0" borderId="0" xfId="0" applyFont="1" applyAlignment="1">
      <alignment horizontal="right"/>
    </xf>
    <xf numFmtId="0" fontId="22" fillId="0" borderId="0" xfId="0" applyFont="1" applyAlignment="1">
      <alignment horizontal="left"/>
    </xf>
    <xf numFmtId="0" fontId="2" fillId="0" borderId="0" xfId="0" applyFont="1" applyAlignment="1">
      <alignment horizontal="center"/>
    </xf>
    <xf numFmtId="0" fontId="4" fillId="0" borderId="7" xfId="0" applyFont="1" applyBorder="1"/>
    <xf numFmtId="0" fontId="4" fillId="5" borderId="7" xfId="0" applyFont="1" applyFill="1" applyBorder="1"/>
    <xf numFmtId="0" fontId="4" fillId="6" borderId="7" xfId="0" applyFont="1" applyFill="1" applyBorder="1"/>
    <xf numFmtId="0" fontId="4" fillId="7" borderId="7" xfId="0" applyFont="1" applyFill="1" applyBorder="1"/>
    <xf numFmtId="0" fontId="2" fillId="3" borderId="4" xfId="0" applyFont="1" applyFill="1" applyBorder="1"/>
    <xf numFmtId="0" fontId="3" fillId="8" borderId="4" xfId="0" applyFont="1" applyFill="1" applyBorder="1" applyAlignment="1">
      <alignment horizontal="left"/>
    </xf>
    <xf numFmtId="0" fontId="37" fillId="0" borderId="4" xfId="0" applyFont="1" applyBorder="1"/>
    <xf numFmtId="0" fontId="38" fillId="0" borderId="0" xfId="0" applyFont="1"/>
    <xf numFmtId="0" fontId="38" fillId="0" borderId="3" xfId="0" applyFont="1" applyBorder="1"/>
    <xf numFmtId="0" fontId="15" fillId="3" borderId="5" xfId="0" applyFont="1" applyFill="1" applyBorder="1" applyAlignment="1">
      <alignment horizontal="center"/>
    </xf>
    <xf numFmtId="0" fontId="27" fillId="0" borderId="0" xfId="0" applyFont="1"/>
    <xf numFmtId="0" fontId="9" fillId="2" borderId="4" xfId="0" applyFont="1" applyFill="1" applyBorder="1" applyAlignment="1">
      <alignment horizontal="left"/>
    </xf>
    <xf numFmtId="0" fontId="1" fillId="0" borderId="0" xfId="0" applyFont="1"/>
    <xf numFmtId="0" fontId="4" fillId="0" borderId="3" xfId="0" applyFont="1" applyBorder="1" applyAlignment="1">
      <alignment horizontal="left"/>
    </xf>
    <xf numFmtId="0" fontId="17" fillId="0" borderId="0" xfId="0" applyFont="1" applyAlignment="1">
      <alignment horizontal="left"/>
    </xf>
    <xf numFmtId="0" fontId="41" fillId="0" borderId="0" xfId="0" applyFont="1" applyAlignment="1">
      <alignment horizontal="left"/>
    </xf>
    <xf numFmtId="0" fontId="4" fillId="0" borderId="0" xfId="0" applyFont="1" applyAlignment="1">
      <alignment horizontal="right"/>
    </xf>
    <xf numFmtId="2" fontId="4" fillId="0" borderId="0" xfId="0" applyNumberFormat="1" applyFont="1"/>
    <xf numFmtId="0" fontId="8" fillId="0" borderId="3" xfId="0" applyFont="1" applyBorder="1" applyAlignment="1">
      <alignment horizontal="left"/>
    </xf>
    <xf numFmtId="0" fontId="8" fillId="0" borderId="0" xfId="0" applyFont="1" applyAlignment="1">
      <alignment horizontal="left"/>
    </xf>
    <xf numFmtId="0" fontId="42" fillId="0" borderId="0" xfId="0" applyFont="1"/>
    <xf numFmtId="5" fontId="42" fillId="0" borderId="0" xfId="0" applyNumberFormat="1" applyFont="1"/>
    <xf numFmtId="0" fontId="43" fillId="0" borderId="0" xfId="0" applyFont="1"/>
    <xf numFmtId="0" fontId="44" fillId="4" borderId="1" xfId="0" applyFont="1" applyFill="1" applyBorder="1"/>
    <xf numFmtId="0" fontId="44" fillId="4" borderId="2" xfId="0" applyFont="1" applyFill="1" applyBorder="1"/>
    <xf numFmtId="164" fontId="7" fillId="3" borderId="5" xfId="0" applyNumberFormat="1" applyFont="1" applyFill="1" applyBorder="1" applyAlignment="1">
      <alignment horizontal="right"/>
    </xf>
    <xf numFmtId="9" fontId="7" fillId="3" borderId="4" xfId="0" applyNumberFormat="1" applyFont="1" applyFill="1" applyBorder="1" applyAlignment="1">
      <alignment horizontal="right"/>
    </xf>
    <xf numFmtId="9" fontId="7" fillId="3" borderId="4" xfId="4" applyFont="1" applyFill="1" applyBorder="1" applyAlignment="1" applyProtection="1">
      <alignment horizontal="right"/>
    </xf>
    <xf numFmtId="165" fontId="7" fillId="3" borderId="5" xfId="0" applyNumberFormat="1" applyFont="1" applyFill="1" applyBorder="1" applyAlignment="1">
      <alignment horizontal="right"/>
    </xf>
    <xf numFmtId="44" fontId="7" fillId="3" borderId="5" xfId="2" applyFont="1" applyFill="1" applyBorder="1" applyAlignment="1">
      <alignment horizontal="right"/>
    </xf>
    <xf numFmtId="168" fontId="7" fillId="3" borderId="5" xfId="0" applyNumberFormat="1" applyFont="1" applyFill="1" applyBorder="1" applyAlignment="1">
      <alignment horizontal="right"/>
    </xf>
    <xf numFmtId="1" fontId="47" fillId="0" borderId="7" xfId="0" applyNumberFormat="1" applyFont="1" applyBorder="1" applyAlignment="1">
      <alignment horizontal="center"/>
    </xf>
    <xf numFmtId="0" fontId="35" fillId="0" borderId="8" xfId="0" applyFont="1" applyBorder="1" applyAlignment="1">
      <alignment horizontal="left"/>
    </xf>
    <xf numFmtId="170" fontId="28" fillId="0" borderId="0" xfId="4" applyNumberFormat="1" applyFont="1" applyFill="1" applyBorder="1" applyProtection="1"/>
    <xf numFmtId="0" fontId="38" fillId="0" borderId="0" xfId="0" applyFont="1" applyAlignment="1">
      <alignment horizontal="right"/>
    </xf>
    <xf numFmtId="0" fontId="4" fillId="0" borderId="1" xfId="0" applyFont="1" applyBorder="1" applyAlignment="1">
      <alignment horizontal="left"/>
    </xf>
    <xf numFmtId="0" fontId="11" fillId="0" borderId="9" xfId="0" applyFont="1" applyBorder="1" applyAlignment="1">
      <alignment horizontal="left"/>
    </xf>
    <xf numFmtId="0" fontId="0" fillId="0" borderId="0" xfId="0" applyAlignment="1">
      <alignment wrapText="1"/>
    </xf>
    <xf numFmtId="3" fontId="0" fillId="0" borderId="0" xfId="0" applyNumberFormat="1"/>
    <xf numFmtId="10" fontId="0" fillId="0" borderId="0" xfId="0" applyNumberFormat="1"/>
    <xf numFmtId="0" fontId="0" fillId="0" borderId="0" xfId="0" applyProtection="1">
      <protection locked="0"/>
    </xf>
    <xf numFmtId="4" fontId="0" fillId="0" borderId="0" xfId="0" applyNumberFormat="1"/>
    <xf numFmtId="0" fontId="21" fillId="8" borderId="6" xfId="0" applyFont="1" applyFill="1" applyBorder="1" applyAlignment="1">
      <alignment horizontal="right"/>
    </xf>
    <xf numFmtId="0" fontId="21" fillId="0" borderId="10" xfId="0" applyFont="1" applyBorder="1" applyAlignment="1">
      <alignment horizontal="right"/>
    </xf>
    <xf numFmtId="0" fontId="21" fillId="0" borderId="1" xfId="0" applyFont="1" applyBorder="1" applyAlignment="1">
      <alignment horizontal="left"/>
    </xf>
    <xf numFmtId="0" fontId="25" fillId="0" borderId="0" xfId="0" applyFont="1"/>
    <xf numFmtId="0" fontId="54" fillId="0" borderId="0" xfId="0" applyFont="1"/>
    <xf numFmtId="0" fontId="4" fillId="0" borderId="0" xfId="0" applyFont="1" applyAlignment="1">
      <alignment horizontal="center"/>
    </xf>
    <xf numFmtId="0" fontId="13" fillId="0" borderId="0" xfId="0" applyFont="1" applyAlignment="1">
      <alignment horizontal="left"/>
    </xf>
    <xf numFmtId="0" fontId="19" fillId="3" borderId="5" xfId="0" applyFont="1" applyFill="1" applyBorder="1"/>
    <xf numFmtId="0" fontId="2" fillId="0" borderId="8" xfId="0" applyFont="1" applyBorder="1"/>
    <xf numFmtId="0" fontId="4" fillId="0" borderId="3" xfId="0" applyFont="1" applyBorder="1" applyAlignment="1">
      <alignment wrapText="1"/>
    </xf>
    <xf numFmtId="0" fontId="4" fillId="0" borderId="9" xfId="0" applyFont="1" applyBorder="1"/>
    <xf numFmtId="0" fontId="4" fillId="0" borderId="1" xfId="0" applyFont="1" applyBorder="1" applyAlignment="1">
      <alignment wrapText="1"/>
    </xf>
    <xf numFmtId="0" fontId="4" fillId="0" borderId="8" xfId="0" applyFont="1" applyBorder="1"/>
    <xf numFmtId="0" fontId="4" fillId="0" borderId="2" xfId="0" applyFont="1" applyBorder="1" applyAlignment="1">
      <alignment wrapText="1"/>
    </xf>
    <xf numFmtId="0" fontId="55" fillId="0" borderId="0" xfId="0" applyFont="1" applyAlignment="1">
      <alignment horizontal="center"/>
    </xf>
    <xf numFmtId="0" fontId="16" fillId="0" borderId="8" xfId="0" applyFont="1" applyBorder="1" applyAlignment="1">
      <alignment horizontal="left"/>
    </xf>
    <xf numFmtId="0" fontId="8" fillId="0" borderId="8" xfId="0" applyFont="1" applyBorder="1" applyAlignment="1">
      <alignment horizontal="center"/>
    </xf>
    <xf numFmtId="0" fontId="58" fillId="10" borderId="13" xfId="0" applyFont="1" applyFill="1" applyBorder="1" applyAlignment="1" applyProtection="1">
      <alignment horizontal="center"/>
      <protection locked="0"/>
    </xf>
    <xf numFmtId="0" fontId="1" fillId="0" borderId="9" xfId="0" applyFont="1" applyBorder="1"/>
    <xf numFmtId="0" fontId="0" fillId="0" borderId="0" xfId="0" applyAlignment="1">
      <alignment horizontal="center"/>
    </xf>
    <xf numFmtId="0" fontId="54" fillId="0" borderId="0" xfId="0" applyFont="1" applyAlignment="1">
      <alignment vertical="top" wrapText="1"/>
    </xf>
    <xf numFmtId="0" fontId="69" fillId="0" borderId="0" xfId="3" applyFont="1" applyFill="1" applyBorder="1" applyAlignment="1" applyProtection="1">
      <alignment horizontal="center"/>
    </xf>
    <xf numFmtId="0" fontId="44" fillId="0" borderId="0" xfId="0" applyFont="1" applyAlignment="1">
      <alignment wrapText="1"/>
    </xf>
    <xf numFmtId="0" fontId="44" fillId="0" borderId="0" xfId="0" applyFont="1" applyAlignment="1">
      <alignment vertical="top" wrapText="1"/>
    </xf>
    <xf numFmtId="0" fontId="23" fillId="0" borderId="0" xfId="3" applyAlignment="1" applyProtection="1">
      <alignment wrapText="1"/>
    </xf>
    <xf numFmtId="0" fontId="0" fillId="0" borderId="0" xfId="0" applyAlignment="1">
      <alignment horizontal="left" vertical="top"/>
    </xf>
    <xf numFmtId="170" fontId="28" fillId="0" borderId="8" xfId="4" applyNumberFormat="1" applyFont="1" applyFill="1" applyBorder="1" applyProtection="1"/>
    <xf numFmtId="170" fontId="24" fillId="3" borderId="4" xfId="4" applyNumberFormat="1" applyFont="1" applyFill="1" applyBorder="1" applyProtection="1"/>
    <xf numFmtId="0" fontId="71" fillId="0" borderId="0" xfId="0" applyFont="1" applyAlignment="1">
      <alignment horizontal="left" indent="4"/>
    </xf>
    <xf numFmtId="0" fontId="0" fillId="0" borderId="8" xfId="0" applyBorder="1"/>
    <xf numFmtId="0" fontId="25" fillId="0" borderId="0" xfId="0" applyFont="1" applyAlignment="1">
      <alignment horizontal="left" vertical="top" wrapText="1"/>
    </xf>
    <xf numFmtId="170" fontId="7" fillId="3" borderId="4" xfId="0" applyNumberFormat="1" applyFont="1" applyFill="1" applyBorder="1" applyAlignment="1">
      <alignment horizontal="right"/>
    </xf>
    <xf numFmtId="0" fontId="82" fillId="0" borderId="0" xfId="0" applyFont="1"/>
    <xf numFmtId="0" fontId="85" fillId="0" borderId="0" xfId="0" applyFont="1"/>
    <xf numFmtId="0" fontId="4" fillId="12" borderId="14" xfId="0" applyFont="1" applyFill="1" applyBorder="1"/>
    <xf numFmtId="0" fontId="28" fillId="0" borderId="0" xfId="0" applyFont="1" applyAlignment="1">
      <alignment horizontal="left"/>
    </xf>
    <xf numFmtId="166" fontId="24" fillId="0" borderId="0" xfId="4" applyNumberFormat="1" applyFont="1" applyFill="1" applyBorder="1" applyAlignment="1" applyProtection="1">
      <alignment horizontal="right"/>
    </xf>
    <xf numFmtId="0" fontId="18" fillId="0" borderId="0" xfId="0" applyFont="1" applyAlignment="1">
      <alignment horizontal="left"/>
    </xf>
    <xf numFmtId="0" fontId="27" fillId="0" borderId="0" xfId="0" applyFont="1" applyAlignment="1">
      <alignment horizontal="left"/>
    </xf>
    <xf numFmtId="168" fontId="25" fillId="0" borderId="9" xfId="4" applyNumberFormat="1" applyFont="1" applyFill="1" applyBorder="1" applyAlignment="1" applyProtection="1">
      <alignment horizontal="right"/>
    </xf>
    <xf numFmtId="0" fontId="78" fillId="0" borderId="0" xfId="3" applyFont="1" applyFill="1" applyBorder="1" applyAlignment="1" applyProtection="1">
      <alignment horizontal="center"/>
    </xf>
    <xf numFmtId="0" fontId="7" fillId="0" borderId="8" xfId="0" applyFont="1" applyBorder="1" applyAlignment="1">
      <alignment horizontal="left"/>
    </xf>
    <xf numFmtId="0" fontId="4" fillId="0" borderId="8" xfId="0" applyFont="1" applyBorder="1" applyAlignment="1">
      <alignment horizontal="left"/>
    </xf>
    <xf numFmtId="165" fontId="90" fillId="0" borderId="5" xfId="0" applyNumberFormat="1" applyFont="1" applyBorder="1" applyAlignment="1">
      <alignment horizontal="center"/>
    </xf>
    <xf numFmtId="0" fontId="2" fillId="0" borderId="0" xfId="0" applyFont="1" applyAlignment="1">
      <alignment horizontal="left"/>
    </xf>
    <xf numFmtId="0" fontId="92" fillId="0" borderId="0" xfId="0" applyFont="1"/>
    <xf numFmtId="2" fontId="1" fillId="0" borderId="0" xfId="0" applyNumberFormat="1" applyFont="1"/>
    <xf numFmtId="0" fontId="1" fillId="0" borderId="0" xfId="3" applyFont="1" applyAlignment="1" applyProtection="1">
      <alignment wrapText="1"/>
    </xf>
    <xf numFmtId="0" fontId="1" fillId="0" borderId="0" xfId="0" applyFont="1" applyAlignment="1">
      <alignment horizontal="left" wrapText="1"/>
    </xf>
    <xf numFmtId="0" fontId="0" fillId="0" borderId="12" xfId="0" applyBorder="1"/>
    <xf numFmtId="0" fontId="7" fillId="3" borderId="5" xfId="0" applyFont="1" applyFill="1" applyBorder="1"/>
    <xf numFmtId="170" fontId="7" fillId="3" borderId="5" xfId="0" applyNumberFormat="1" applyFont="1" applyFill="1" applyBorder="1"/>
    <xf numFmtId="0" fontId="6" fillId="0" borderId="1" xfId="0" applyFont="1" applyBorder="1" applyAlignment="1">
      <alignment horizontal="center"/>
    </xf>
    <xf numFmtId="0" fontId="6" fillId="0" borderId="16" xfId="0" applyFont="1" applyBorder="1" applyAlignment="1">
      <alignment horizontal="right"/>
    </xf>
    <xf numFmtId="0" fontId="2" fillId="0" borderId="2" xfId="0" applyFont="1" applyBorder="1"/>
    <xf numFmtId="0" fontId="23" fillId="0" borderId="3" xfId="3" applyFill="1" applyBorder="1" applyAlignment="1" applyProtection="1">
      <alignment horizontal="left"/>
    </xf>
    <xf numFmtId="166" fontId="5" fillId="0" borderId="7" xfId="4" applyNumberFormat="1" applyFont="1" applyFill="1" applyBorder="1" applyAlignment="1" applyProtection="1">
      <alignment horizontal="center"/>
    </xf>
    <xf numFmtId="170" fontId="5" fillId="0" borderId="7" xfId="4" applyNumberFormat="1" applyFont="1" applyFill="1" applyBorder="1" applyAlignment="1" applyProtection="1">
      <alignment horizontal="center"/>
    </xf>
    <xf numFmtId="170" fontId="7" fillId="3" borderId="4" xfId="4" applyNumberFormat="1" applyFont="1" applyFill="1" applyBorder="1" applyAlignment="1" applyProtection="1">
      <alignment horizontal="center"/>
    </xf>
    <xf numFmtId="0" fontId="25" fillId="0" borderId="0" xfId="0" applyFont="1" applyAlignment="1">
      <alignment vertical="top" wrapText="1"/>
    </xf>
    <xf numFmtId="0" fontId="64" fillId="0" borderId="0" xfId="0" applyFont="1" applyAlignment="1">
      <alignment horizontal="center"/>
    </xf>
    <xf numFmtId="165" fontId="25" fillId="0" borderId="0" xfId="0" applyNumberFormat="1" applyFont="1" applyAlignment="1">
      <alignment horizontal="left"/>
    </xf>
    <xf numFmtId="0" fontId="1" fillId="0" borderId="0" xfId="0" applyFont="1" applyAlignment="1">
      <alignment horizontal="center"/>
    </xf>
    <xf numFmtId="0" fontId="103" fillId="0" borderId="0" xfId="0" applyFont="1"/>
    <xf numFmtId="9" fontId="7" fillId="3" borderId="4" xfId="0" applyNumberFormat="1" applyFont="1" applyFill="1" applyBorder="1" applyAlignment="1">
      <alignment horizontal="center"/>
    </xf>
    <xf numFmtId="170" fontId="24" fillId="0" borderId="5" xfId="4" applyNumberFormat="1" applyFont="1" applyFill="1" applyBorder="1" applyAlignment="1" applyProtection="1">
      <alignment horizontal="center"/>
    </xf>
    <xf numFmtId="170" fontId="24" fillId="0" borderId="4" xfId="4" applyNumberFormat="1" applyFont="1" applyFill="1" applyBorder="1" applyAlignment="1" applyProtection="1">
      <alignment horizontal="center"/>
    </xf>
    <xf numFmtId="0" fontId="19" fillId="0" borderId="0" xfId="0" applyFont="1"/>
    <xf numFmtId="166" fontId="24" fillId="0" borderId="0" xfId="4" applyNumberFormat="1" applyFont="1" applyFill="1" applyBorder="1" applyAlignment="1" applyProtection="1">
      <alignment horizontal="left"/>
    </xf>
    <xf numFmtId="166" fontId="24" fillId="0" borderId="9" xfId="4" applyNumberFormat="1" applyFont="1" applyFill="1" applyBorder="1" applyAlignment="1" applyProtection="1">
      <alignment horizontal="left"/>
    </xf>
    <xf numFmtId="170" fontId="28" fillId="0" borderId="9" xfId="4" applyNumberFormat="1" applyFont="1" applyFill="1" applyBorder="1" applyProtection="1"/>
    <xf numFmtId="0" fontId="27" fillId="0" borderId="9" xfId="0" applyFont="1" applyBorder="1" applyAlignment="1">
      <alignment horizontal="left"/>
    </xf>
    <xf numFmtId="0" fontId="8" fillId="0" borderId="0" xfId="0" applyFont="1"/>
    <xf numFmtId="0" fontId="111" fillId="0" borderId="0" xfId="0" applyFont="1"/>
    <xf numFmtId="0" fontId="8" fillId="0" borderId="8" xfId="0" applyFont="1" applyBorder="1" applyAlignment="1">
      <alignment horizontal="left"/>
    </xf>
    <xf numFmtId="9" fontId="4" fillId="0" borderId="4" xfId="4" applyFont="1" applyBorder="1" applyAlignment="1" applyProtection="1">
      <alignment horizontal="right"/>
    </xf>
    <xf numFmtId="165" fontId="7" fillId="0" borderId="4" xfId="0" applyNumberFormat="1" applyFont="1" applyBorder="1" applyAlignment="1">
      <alignment horizontal="center"/>
    </xf>
    <xf numFmtId="0" fontId="25" fillId="0" borderId="9" xfId="0" applyFont="1" applyBorder="1" applyAlignment="1">
      <alignment horizontal="center"/>
    </xf>
    <xf numFmtId="0" fontId="25" fillId="0" borderId="9" xfId="0" applyFont="1" applyBorder="1" applyAlignment="1">
      <alignment horizontal="left"/>
    </xf>
    <xf numFmtId="9" fontId="65" fillId="0" borderId="0" xfId="4" applyFont="1" applyAlignment="1" applyProtection="1">
      <alignment horizontal="center"/>
    </xf>
    <xf numFmtId="170" fontId="7" fillId="3" borderId="5" xfId="0" applyNumberFormat="1" applyFont="1" applyFill="1" applyBorder="1" applyAlignment="1">
      <alignment horizontal="right"/>
    </xf>
    <xf numFmtId="2" fontId="19" fillId="0" borderId="0" xfId="0" applyNumberFormat="1" applyFont="1" applyAlignment="1">
      <alignment horizontal="center"/>
    </xf>
    <xf numFmtId="165" fontId="19" fillId="0" borderId="0" xfId="0" applyNumberFormat="1" applyFont="1" applyAlignment="1">
      <alignment horizontal="center"/>
    </xf>
    <xf numFmtId="170" fontId="88" fillId="0" borderId="0" xfId="0" applyNumberFormat="1" applyFont="1" applyAlignment="1">
      <alignment horizontal="center"/>
    </xf>
    <xf numFmtId="0" fontId="120" fillId="0" borderId="0" xfId="0" applyFont="1" applyAlignment="1">
      <alignment horizontal="right"/>
    </xf>
    <xf numFmtId="0" fontId="87" fillId="0" borderId="8" xfId="3" applyFont="1" applyFill="1" applyBorder="1" applyAlignment="1" applyProtection="1">
      <alignment horizontal="center"/>
    </xf>
    <xf numFmtId="0" fontId="121" fillId="0" borderId="0" xfId="0" applyFont="1"/>
    <xf numFmtId="0" fontId="4" fillId="0" borderId="10" xfId="0" applyFont="1" applyBorder="1" applyAlignment="1">
      <alignment horizontal="left"/>
    </xf>
    <xf numFmtId="0" fontId="4" fillId="0" borderId="9" xfId="0" applyFont="1" applyBorder="1" applyAlignment="1">
      <alignment horizontal="left"/>
    </xf>
    <xf numFmtId="0" fontId="51" fillId="0" borderId="0" xfId="3" applyFont="1" applyFill="1" applyBorder="1" applyAlignment="1" applyProtection="1">
      <alignment horizontal="center" vertical="center"/>
    </xf>
    <xf numFmtId="0" fontId="11" fillId="0" borderId="0" xfId="0" applyFont="1" applyAlignment="1">
      <alignment horizontal="left"/>
    </xf>
    <xf numFmtId="0" fontId="11" fillId="0" borderId="8" xfId="0" applyFont="1" applyBorder="1" applyAlignment="1">
      <alignment horizontal="left"/>
    </xf>
    <xf numFmtId="0" fontId="92" fillId="0" borderId="0" xfId="0" applyFont="1" applyAlignment="1">
      <alignment horizontal="left"/>
    </xf>
    <xf numFmtId="0" fontId="2" fillId="9" borderId="15" xfId="0" applyFont="1" applyFill="1" applyBorder="1" applyAlignment="1">
      <alignment horizontal="center"/>
    </xf>
    <xf numFmtId="0" fontId="2" fillId="9" borderId="14" xfId="0" applyFont="1" applyFill="1" applyBorder="1" applyAlignment="1">
      <alignment horizontal="center"/>
    </xf>
    <xf numFmtId="0" fontId="2" fillId="9" borderId="0" xfId="0" applyFont="1" applyFill="1" applyAlignment="1">
      <alignment horizontal="center"/>
    </xf>
    <xf numFmtId="0" fontId="25" fillId="0" borderId="0" xfId="0" applyFont="1" applyAlignment="1" applyProtection="1">
      <alignment horizontal="center"/>
      <protection locked="0"/>
    </xf>
    <xf numFmtId="0" fontId="50" fillId="0" borderId="0" xfId="3" applyFont="1" applyFill="1" applyBorder="1" applyAlignment="1" applyProtection="1">
      <alignment horizontal="left" vertical="center"/>
    </xf>
    <xf numFmtId="0" fontId="85" fillId="0" borderId="0" xfId="3" applyFont="1" applyFill="1" applyBorder="1" applyAlignment="1" applyProtection="1">
      <alignment horizontal="left" vertical="center"/>
    </xf>
    <xf numFmtId="170" fontId="130" fillId="0" borderId="0" xfId="4" applyNumberFormat="1" applyFont="1" applyProtection="1"/>
    <xf numFmtId="0" fontId="130" fillId="0" borderId="0" xfId="0" applyFont="1"/>
    <xf numFmtId="170" fontId="129" fillId="0" borderId="0" xfId="4" applyNumberFormat="1" applyFont="1" applyProtection="1"/>
    <xf numFmtId="10" fontId="130" fillId="0" borderId="0" xfId="4" applyNumberFormat="1" applyFont="1" applyProtection="1"/>
    <xf numFmtId="170" fontId="130" fillId="0" borderId="0" xfId="4" applyNumberFormat="1" applyFont="1" applyAlignment="1" applyProtection="1">
      <alignment horizontal="center"/>
    </xf>
    <xf numFmtId="170" fontId="130" fillId="0" borderId="0" xfId="0" applyNumberFormat="1" applyFont="1" applyAlignment="1">
      <alignment horizontal="center"/>
    </xf>
    <xf numFmtId="0" fontId="131" fillId="9" borderId="7" xfId="0" applyFont="1" applyFill="1" applyBorder="1" applyAlignment="1">
      <alignment horizontal="center"/>
    </xf>
    <xf numFmtId="0" fontId="25" fillId="0" borderId="0" xfId="0" applyFont="1" applyAlignment="1">
      <alignment horizontal="left" wrapText="1"/>
    </xf>
    <xf numFmtId="0" fontId="134" fillId="0" borderId="0" xfId="0" applyFont="1"/>
    <xf numFmtId="0" fontId="0" fillId="17" borderId="0" xfId="0" applyFill="1"/>
    <xf numFmtId="0" fontId="68" fillId="0" borderId="0" xfId="0" applyFont="1"/>
    <xf numFmtId="0" fontId="66" fillId="0" borderId="0" xfId="0" applyFont="1" applyAlignment="1">
      <alignment wrapText="1"/>
    </xf>
    <xf numFmtId="0" fontId="117" fillId="0" borderId="0" xfId="0" applyFont="1" applyAlignment="1">
      <alignment wrapText="1"/>
    </xf>
    <xf numFmtId="9" fontId="24" fillId="19" borderId="14" xfId="0" applyNumberFormat="1" applyFont="1" applyFill="1" applyBorder="1" applyAlignment="1">
      <alignment horizontal="right"/>
    </xf>
    <xf numFmtId="0" fontId="1" fillId="0" borderId="0" xfId="0" applyFont="1" applyAlignment="1">
      <alignment horizontal="left"/>
    </xf>
    <xf numFmtId="0" fontId="137" fillId="4" borderId="0" xfId="0" applyFont="1" applyFill="1"/>
    <xf numFmtId="0" fontId="134" fillId="11" borderId="0" xfId="0" applyFont="1" applyFill="1"/>
    <xf numFmtId="167" fontId="134" fillId="0" borderId="0" xfId="1" applyNumberFormat="1" applyFont="1"/>
    <xf numFmtId="14" fontId="134" fillId="11" borderId="0" xfId="0" applyNumberFormat="1" applyFont="1" applyFill="1"/>
    <xf numFmtId="4" fontId="134" fillId="11" borderId="0" xfId="0" applyNumberFormat="1" applyFont="1" applyFill="1"/>
    <xf numFmtId="0" fontId="134" fillId="9" borderId="0" xfId="0" applyFont="1" applyFill="1"/>
    <xf numFmtId="1" fontId="134" fillId="0" borderId="0" xfId="0" applyNumberFormat="1" applyFont="1"/>
    <xf numFmtId="0" fontId="134" fillId="13" borderId="0" xfId="0" applyFont="1" applyFill="1"/>
    <xf numFmtId="171" fontId="134" fillId="0" borderId="0" xfId="1" applyNumberFormat="1" applyFont="1"/>
    <xf numFmtId="10" fontId="134" fillId="0" borderId="0" xfId="4" applyNumberFormat="1" applyFont="1" applyFill="1"/>
    <xf numFmtId="0" fontId="137" fillId="0" borderId="0" xfId="0" applyFont="1"/>
    <xf numFmtId="170" fontId="134" fillId="0" borderId="0" xfId="4" applyNumberFormat="1" applyFont="1"/>
    <xf numFmtId="0" fontId="137" fillId="13" borderId="0" xfId="0" applyFont="1" applyFill="1"/>
    <xf numFmtId="9" fontId="134" fillId="0" borderId="0" xfId="4" applyFont="1"/>
    <xf numFmtId="4" fontId="134" fillId="0" borderId="0" xfId="0" applyNumberFormat="1" applyFont="1"/>
    <xf numFmtId="1" fontId="134" fillId="4" borderId="0" xfId="0" applyNumberFormat="1" applyFont="1" applyFill="1"/>
    <xf numFmtId="167" fontId="134" fillId="0" borderId="0" xfId="1" applyNumberFormat="1" applyFont="1" applyAlignment="1">
      <alignment horizontal="right" indent="1"/>
    </xf>
    <xf numFmtId="0" fontId="137" fillId="16" borderId="0" xfId="0" applyFont="1" applyFill="1"/>
    <xf numFmtId="2" fontId="134" fillId="0" borderId="0" xfId="0" applyNumberFormat="1" applyFont="1"/>
    <xf numFmtId="0" fontId="134" fillId="18" borderId="0" xfId="0" applyFont="1" applyFill="1" applyAlignment="1">
      <alignment horizontal="right"/>
    </xf>
    <xf numFmtId="43" fontId="134" fillId="0" borderId="0" xfId="0" applyNumberFormat="1" applyFont="1"/>
    <xf numFmtId="2" fontId="134" fillId="0" borderId="0" xfId="4" applyNumberFormat="1" applyFont="1"/>
    <xf numFmtId="2" fontId="134" fillId="0" borderId="0" xfId="4" applyNumberFormat="1" applyFont="1" applyFill="1"/>
    <xf numFmtId="10" fontId="134" fillId="0" borderId="0" xfId="0" applyNumberFormat="1" applyFont="1"/>
    <xf numFmtId="0" fontId="134" fillId="4" borderId="0" xfId="0" applyFont="1" applyFill="1"/>
    <xf numFmtId="0" fontId="134" fillId="0" borderId="0" xfId="0" applyFont="1" applyAlignment="1">
      <alignment horizontal="right"/>
    </xf>
    <xf numFmtId="0" fontId="138" fillId="9" borderId="0" xfId="0" applyFont="1" applyFill="1"/>
    <xf numFmtId="0" fontId="134" fillId="0" borderId="0" xfId="0" applyFont="1" applyAlignment="1">
      <alignment horizontal="left"/>
    </xf>
    <xf numFmtId="165" fontId="134" fillId="0" borderId="0" xfId="0" applyNumberFormat="1" applyFont="1"/>
    <xf numFmtId="0" fontId="139" fillId="0" borderId="0" xfId="0" applyFont="1"/>
    <xf numFmtId="0" fontId="134" fillId="14" borderId="0" xfId="0" applyFont="1" applyFill="1"/>
    <xf numFmtId="167" fontId="134" fillId="0" borderId="0" xfId="1" applyNumberFormat="1" applyFont="1" applyFill="1"/>
    <xf numFmtId="43" fontId="134" fillId="0" borderId="0" xfId="1" applyFont="1"/>
    <xf numFmtId="170" fontId="134" fillId="0" borderId="0" xfId="4" applyNumberFormat="1" applyFont="1" applyFill="1"/>
    <xf numFmtId="0" fontId="134" fillId="2" borderId="0" xfId="0" applyFont="1" applyFill="1"/>
    <xf numFmtId="165" fontId="134" fillId="0" borderId="0" xfId="4" applyNumberFormat="1" applyFont="1"/>
    <xf numFmtId="170" fontId="134" fillId="0" borderId="0" xfId="0" applyNumberFormat="1" applyFont="1"/>
    <xf numFmtId="167" fontId="134" fillId="0" borderId="0" xfId="4" applyNumberFormat="1" applyFont="1"/>
    <xf numFmtId="0" fontId="140" fillId="15" borderId="0" xfId="0" applyFont="1" applyFill="1"/>
    <xf numFmtId="0" fontId="134" fillId="15" borderId="0" xfId="0" applyFont="1" applyFill="1"/>
    <xf numFmtId="0" fontId="141" fillId="15" borderId="0" xfId="0" applyFont="1" applyFill="1"/>
    <xf numFmtId="0" fontId="134" fillId="12" borderId="0" xfId="0" applyFont="1" applyFill="1"/>
    <xf numFmtId="2" fontId="137" fillId="0" borderId="0" xfId="0" applyNumberFormat="1" applyFont="1"/>
    <xf numFmtId="0" fontId="139" fillId="9" borderId="0" xfId="0" applyFont="1" applyFill="1"/>
    <xf numFmtId="167" fontId="134" fillId="0" borderId="0" xfId="0" applyNumberFormat="1" applyFont="1"/>
    <xf numFmtId="43" fontId="134" fillId="0" borderId="0" xfId="1" applyFont="1" applyFill="1"/>
    <xf numFmtId="174" fontId="134" fillId="0" borderId="0" xfId="0" applyNumberFormat="1" applyFont="1"/>
    <xf numFmtId="167" fontId="134" fillId="17" borderId="0" xfId="1" applyNumberFormat="1" applyFont="1" applyFill="1"/>
    <xf numFmtId="0" fontId="86" fillId="8" borderId="0" xfId="0" applyFont="1" applyFill="1" applyAlignment="1">
      <alignment horizontal="center"/>
    </xf>
    <xf numFmtId="0" fontId="85" fillId="3" borderId="0" xfId="0" applyFont="1" applyFill="1" applyAlignment="1">
      <alignment horizontal="center"/>
    </xf>
    <xf numFmtId="0" fontId="63" fillId="0" borderId="0" xfId="0" applyFont="1" applyAlignment="1">
      <alignment horizontal="center"/>
    </xf>
    <xf numFmtId="0" fontId="54" fillId="0" borderId="0" xfId="0" applyFont="1" applyAlignment="1">
      <alignment horizontal="center"/>
    </xf>
    <xf numFmtId="0" fontId="2" fillId="8" borderId="0" xfId="0" applyFont="1" applyFill="1" applyAlignment="1">
      <alignment horizontal="center"/>
    </xf>
    <xf numFmtId="0" fontId="5" fillId="0" borderId="0" xfId="0" applyFont="1" applyAlignment="1">
      <alignment horizontal="center"/>
    </xf>
    <xf numFmtId="0" fontId="76" fillId="8" borderId="0" xfId="0" applyFont="1" applyFill="1" applyAlignment="1">
      <alignment horizontal="center" vertical="center"/>
    </xf>
    <xf numFmtId="0" fontId="4" fillId="4" borderId="0" xfId="0" applyFont="1" applyFill="1" applyAlignment="1">
      <alignment horizontal="center"/>
    </xf>
    <xf numFmtId="0" fontId="128" fillId="0" borderId="0" xfId="0" applyFont="1" applyAlignment="1">
      <alignment horizontal="center"/>
    </xf>
    <xf numFmtId="0" fontId="92" fillId="0" borderId="0" xfId="0" applyFont="1" applyAlignment="1">
      <alignment horizontal="center"/>
    </xf>
    <xf numFmtId="0" fontId="4" fillId="0" borderId="0" xfId="0" applyFont="1" applyAlignment="1" applyProtection="1">
      <alignment horizontal="center"/>
      <protection locked="0"/>
    </xf>
    <xf numFmtId="0" fontId="123" fillId="0" borderId="0" xfId="0" applyFont="1" applyAlignment="1">
      <alignment horizontal="center" vertical="top" wrapText="1"/>
    </xf>
    <xf numFmtId="0" fontId="142" fillId="0" borderId="0" xfId="0" applyFont="1"/>
    <xf numFmtId="0" fontId="88" fillId="0" borderId="0" xfId="0" applyFont="1"/>
    <xf numFmtId="0" fontId="143" fillId="0" borderId="0" xfId="0" applyFont="1" applyAlignment="1">
      <alignment horizontal="left"/>
    </xf>
    <xf numFmtId="167" fontId="139" fillId="0" borderId="0" xfId="1" applyNumberFormat="1" applyFont="1"/>
    <xf numFmtId="170" fontId="134" fillId="17" borderId="0" xfId="4" applyNumberFormat="1" applyFont="1" applyFill="1"/>
    <xf numFmtId="2" fontId="134" fillId="0" borderId="0" xfId="1" applyNumberFormat="1" applyFont="1"/>
    <xf numFmtId="5" fontId="145" fillId="4" borderId="10" xfId="0" applyNumberFormat="1" applyFont="1" applyFill="1" applyBorder="1" applyAlignment="1">
      <alignment horizontal="right"/>
    </xf>
    <xf numFmtId="5" fontId="145" fillId="0" borderId="10" xfId="0" applyNumberFormat="1" applyFont="1" applyBorder="1" applyAlignment="1">
      <alignment horizontal="right"/>
    </xf>
    <xf numFmtId="5" fontId="145" fillId="0" borderId="11" xfId="0" applyNumberFormat="1" applyFont="1" applyBorder="1" applyAlignment="1">
      <alignment horizontal="right"/>
    </xf>
    <xf numFmtId="5" fontId="145" fillId="0" borderId="12" xfId="0" applyNumberFormat="1" applyFont="1" applyBorder="1" applyAlignment="1">
      <alignment horizontal="right"/>
    </xf>
    <xf numFmtId="5" fontId="145" fillId="4" borderId="12" xfId="0" applyNumberFormat="1" applyFont="1" applyFill="1" applyBorder="1" applyAlignment="1">
      <alignment horizontal="right"/>
    </xf>
    <xf numFmtId="169" fontId="145" fillId="0" borderId="10" xfId="0" applyNumberFormat="1" applyFont="1" applyBorder="1" applyAlignment="1">
      <alignment horizontal="right"/>
    </xf>
    <xf numFmtId="173" fontId="145" fillId="0" borderId="10" xfId="0" applyNumberFormat="1" applyFont="1" applyBorder="1" applyAlignment="1">
      <alignment horizontal="right"/>
    </xf>
    <xf numFmtId="173" fontId="145" fillId="0" borderId="11" xfId="0" applyNumberFormat="1" applyFont="1" applyBorder="1" applyAlignment="1">
      <alignment horizontal="right"/>
    </xf>
    <xf numFmtId="5" fontId="145" fillId="2" borderId="6" xfId="0" applyNumberFormat="1" applyFont="1" applyFill="1" applyBorder="1" applyAlignment="1">
      <alignment horizontal="right"/>
    </xf>
    <xf numFmtId="5" fontId="145" fillId="4" borderId="11" xfId="0" applyNumberFormat="1" applyFont="1" applyFill="1" applyBorder="1" applyAlignment="1">
      <alignment horizontal="right"/>
    </xf>
    <xf numFmtId="5" fontId="146" fillId="0" borderId="12" xfId="0" applyNumberFormat="1" applyFont="1" applyBorder="1" applyAlignment="1">
      <alignment horizontal="right"/>
    </xf>
    <xf numFmtId="5" fontId="146" fillId="4" borderId="6" xfId="0" applyNumberFormat="1" applyFont="1" applyFill="1" applyBorder="1" applyAlignment="1">
      <alignment horizontal="right"/>
    </xf>
    <xf numFmtId="0" fontId="147" fillId="0" borderId="6" xfId="0" applyFont="1" applyBorder="1" applyAlignment="1">
      <alignment horizontal="right"/>
    </xf>
    <xf numFmtId="169" fontId="146" fillId="0" borderId="10" xfId="1" applyNumberFormat="1" applyFont="1" applyFill="1" applyBorder="1" applyAlignment="1" applyProtection="1">
      <alignment horizontal="right"/>
    </xf>
    <xf numFmtId="169" fontId="146" fillId="0" borderId="12" xfId="1" applyNumberFormat="1" applyFont="1" applyFill="1" applyBorder="1" applyAlignment="1" applyProtection="1">
      <alignment horizontal="right"/>
    </xf>
    <xf numFmtId="167" fontId="145" fillId="0" borderId="10" xfId="0" applyNumberFormat="1" applyFont="1" applyBorder="1" applyAlignment="1">
      <alignment horizontal="right"/>
    </xf>
    <xf numFmtId="170" fontId="145" fillId="4" borderId="6" xfId="4" applyNumberFormat="1" applyFont="1" applyFill="1" applyBorder="1" applyAlignment="1" applyProtection="1">
      <alignment horizontal="right"/>
    </xf>
    <xf numFmtId="166" fontId="134" fillId="0" borderId="0" xfId="4" applyNumberFormat="1" applyFont="1"/>
    <xf numFmtId="167" fontId="134" fillId="9" borderId="0" xfId="0" applyNumberFormat="1" applyFont="1" applyFill="1"/>
    <xf numFmtId="167" fontId="145" fillId="0" borderId="12" xfId="0" applyNumberFormat="1" applyFont="1" applyBorder="1" applyAlignment="1">
      <alignment horizontal="right"/>
    </xf>
    <xf numFmtId="167" fontId="145" fillId="0" borderId="11" xfId="0" applyNumberFormat="1" applyFont="1" applyBorder="1" applyAlignment="1">
      <alignment horizontal="right"/>
    </xf>
    <xf numFmtId="167" fontId="145" fillId="4" borderId="12" xfId="0" applyNumberFormat="1" applyFont="1" applyFill="1" applyBorder="1" applyAlignment="1">
      <alignment horizontal="right"/>
    </xf>
    <xf numFmtId="9" fontId="120" fillId="0" borderId="0" xfId="0" applyNumberFormat="1" applyFont="1" applyAlignment="1">
      <alignment horizontal="center"/>
    </xf>
    <xf numFmtId="167" fontId="134" fillId="9" borderId="0" xfId="1" applyNumberFormat="1" applyFont="1" applyFill="1"/>
    <xf numFmtId="170" fontId="137" fillId="0" borderId="0" xfId="4" applyNumberFormat="1" applyFont="1"/>
    <xf numFmtId="0" fontId="134" fillId="21" borderId="0" xfId="0" applyFont="1" applyFill="1"/>
    <xf numFmtId="0" fontId="148" fillId="0" borderId="0" xfId="0" applyFont="1"/>
    <xf numFmtId="170" fontId="7" fillId="3" borderId="4" xfId="4" applyNumberFormat="1" applyFont="1" applyFill="1" applyBorder="1" applyAlignment="1" applyProtection="1">
      <alignment horizontal="right"/>
    </xf>
    <xf numFmtId="0" fontId="149" fillId="0" borderId="0" xfId="0" applyFont="1" applyAlignment="1">
      <alignment horizontal="left" indent="2"/>
    </xf>
    <xf numFmtId="0" fontId="23" fillId="0" borderId="0" xfId="3" applyFill="1" applyBorder="1" applyAlignment="1" applyProtection="1">
      <alignment horizontal="center"/>
    </xf>
    <xf numFmtId="2" fontId="134" fillId="18" borderId="0" xfId="0" applyNumberFormat="1" applyFont="1" applyFill="1"/>
    <xf numFmtId="4" fontId="134" fillId="0" borderId="0" xfId="1" applyNumberFormat="1" applyFont="1"/>
    <xf numFmtId="0" fontId="134" fillId="22" borderId="0" xfId="0" applyFont="1" applyFill="1"/>
    <xf numFmtId="171" fontId="134" fillId="22" borderId="0" xfId="0" applyNumberFormat="1" applyFont="1" applyFill="1"/>
    <xf numFmtId="9" fontId="24" fillId="3" borderId="2" xfId="0" applyNumberFormat="1" applyFont="1" applyFill="1" applyBorder="1" applyAlignment="1">
      <alignment horizontal="right" vertical="center"/>
    </xf>
    <xf numFmtId="10" fontId="23" fillId="0" borderId="0" xfId="3" applyNumberFormat="1" applyAlignment="1" applyProtection="1"/>
    <xf numFmtId="176" fontId="134" fillId="0" borderId="0" xfId="0" applyNumberFormat="1" applyFont="1"/>
    <xf numFmtId="170" fontId="28" fillId="0" borderId="4" xfId="4" applyNumberFormat="1" applyFont="1" applyFill="1" applyBorder="1" applyProtection="1"/>
    <xf numFmtId="0" fontId="28" fillId="0" borderId="10" xfId="0" applyFont="1" applyBorder="1"/>
    <xf numFmtId="0" fontId="28" fillId="0" borderId="9" xfId="0" applyFont="1" applyBorder="1"/>
    <xf numFmtId="14" fontId="0" fillId="0" borderId="0" xfId="0" applyNumberFormat="1"/>
    <xf numFmtId="0" fontId="150" fillId="0" borderId="0" xfId="0" applyFont="1" applyAlignment="1">
      <alignment horizontal="right"/>
    </xf>
    <xf numFmtId="0" fontId="123" fillId="0" borderId="0" xfId="0" applyFont="1" applyAlignment="1">
      <alignment vertical="top"/>
    </xf>
    <xf numFmtId="0" fontId="152" fillId="0" borderId="0" xfId="0" applyFont="1"/>
    <xf numFmtId="0" fontId="153" fillId="0" borderId="0" xfId="3" applyFont="1" applyFill="1" applyBorder="1" applyAlignment="1" applyProtection="1">
      <alignment vertical="center"/>
    </xf>
    <xf numFmtId="0" fontId="155" fillId="19" borderId="0" xfId="0" applyFont="1" applyFill="1" applyAlignment="1">
      <alignment horizontal="right"/>
    </xf>
    <xf numFmtId="0" fontId="134" fillId="23" borderId="0" xfId="0" applyFont="1" applyFill="1"/>
    <xf numFmtId="0" fontId="128" fillId="0" borderId="0" xfId="0" applyFont="1" applyAlignment="1">
      <alignment horizontal="left"/>
    </xf>
    <xf numFmtId="0" fontId="7" fillId="0" borderId="0" xfId="0" applyFont="1"/>
    <xf numFmtId="0" fontId="7" fillId="0" borderId="0" xfId="0" applyFont="1" applyAlignment="1">
      <alignment horizontal="right"/>
    </xf>
    <xf numFmtId="9" fontId="25" fillId="0" borderId="0" xfId="4" applyFont="1" applyFill="1" applyBorder="1" applyAlignment="1" applyProtection="1">
      <alignment horizontal="center"/>
    </xf>
    <xf numFmtId="0" fontId="118" fillId="0" borderId="0" xfId="0" applyFont="1" applyAlignment="1">
      <alignment horizontal="right"/>
    </xf>
    <xf numFmtId="165" fontId="1" fillId="0" borderId="0" xfId="4" applyNumberFormat="1" applyFont="1" applyFill="1" applyBorder="1" applyAlignment="1" applyProtection="1">
      <alignment horizontal="right"/>
    </xf>
    <xf numFmtId="0" fontId="104" fillId="0" borderId="0" xfId="0" applyFont="1"/>
    <xf numFmtId="169" fontId="108" fillId="0" borderId="0" xfId="0" applyNumberFormat="1" applyFont="1" applyAlignment="1" applyProtection="1">
      <alignment horizontal="center"/>
      <protection locked="0"/>
    </xf>
    <xf numFmtId="0" fontId="98" fillId="0" borderId="0" xfId="0" applyFont="1" applyAlignment="1">
      <alignment horizontal="right"/>
    </xf>
    <xf numFmtId="169" fontId="98" fillId="0" borderId="0" xfId="0" applyNumberFormat="1" applyFont="1" applyAlignment="1">
      <alignment horizontal="center"/>
    </xf>
    <xf numFmtId="0" fontId="109" fillId="0" borderId="0" xfId="0" applyFont="1" applyAlignment="1">
      <alignment horizontal="right"/>
    </xf>
    <xf numFmtId="9" fontId="65" fillId="0" borderId="0" xfId="4" applyFont="1" applyFill="1" applyBorder="1" applyAlignment="1" applyProtection="1">
      <alignment horizontal="left"/>
    </xf>
    <xf numFmtId="14" fontId="126" fillId="0" borderId="0" xfId="0" applyNumberFormat="1" applyFont="1"/>
    <xf numFmtId="43" fontId="139" fillId="0" borderId="0" xfId="1" applyFont="1"/>
    <xf numFmtId="10" fontId="60" fillId="0" borderId="0" xfId="4" applyNumberFormat="1" applyFont="1" applyFill="1" applyBorder="1" applyAlignment="1" applyProtection="1">
      <alignment horizontal="right"/>
    </xf>
    <xf numFmtId="0" fontId="25" fillId="0" borderId="0" xfId="0" applyFont="1" applyAlignment="1">
      <alignment horizontal="left"/>
    </xf>
    <xf numFmtId="170" fontId="44" fillId="0" borderId="0" xfId="4" applyNumberFormat="1" applyFont="1" applyFill="1" applyBorder="1" applyAlignment="1" applyProtection="1">
      <alignment horizontal="center"/>
    </xf>
    <xf numFmtId="0" fontId="65" fillId="0" borderId="0" xfId="0" applyFont="1"/>
    <xf numFmtId="0" fontId="132" fillId="0" borderId="0" xfId="0" applyFont="1" applyAlignment="1">
      <alignment wrapText="1"/>
    </xf>
    <xf numFmtId="0" fontId="4" fillId="0" borderId="0" xfId="0" applyFont="1" applyAlignment="1">
      <alignment wrapText="1"/>
    </xf>
    <xf numFmtId="0" fontId="5" fillId="0" borderId="0" xfId="0" applyFont="1" applyAlignment="1">
      <alignment horizontal="right"/>
    </xf>
    <xf numFmtId="0" fontId="76" fillId="0" borderId="0" xfId="0" applyFont="1" applyAlignment="1">
      <alignment horizontal="left" vertical="center"/>
    </xf>
    <xf numFmtId="0" fontId="91" fillId="0" borderId="0" xfId="0" applyFont="1" applyAlignment="1">
      <alignment horizontal="center"/>
    </xf>
    <xf numFmtId="0" fontId="156" fillId="0" borderId="0" xfId="0" applyFont="1"/>
    <xf numFmtId="0" fontId="151" fillId="0" borderId="0" xfId="0" applyFont="1" applyAlignment="1">
      <alignment horizontal="center" vertical="top"/>
    </xf>
    <xf numFmtId="0" fontId="96" fillId="0" borderId="0" xfId="0" applyFont="1"/>
    <xf numFmtId="0" fontId="4" fillId="0" borderId="12" xfId="0" applyFont="1" applyBorder="1" applyAlignment="1">
      <alignment horizontal="left"/>
    </xf>
    <xf numFmtId="0" fontId="157" fillId="0" borderId="0" xfId="0" applyFont="1"/>
    <xf numFmtId="0" fontId="158" fillId="0" borderId="0" xfId="0" applyFont="1"/>
    <xf numFmtId="0" fontId="159" fillId="0" borderId="0" xfId="0" applyFont="1" applyAlignment="1">
      <alignment horizontal="left" indent="2"/>
    </xf>
    <xf numFmtId="2" fontId="134" fillId="0" borderId="0" xfId="0" applyNumberFormat="1" applyFont="1" applyAlignment="1">
      <alignment horizontal="right"/>
    </xf>
    <xf numFmtId="0" fontId="160" fillId="0" borderId="0" xfId="0" applyFont="1"/>
    <xf numFmtId="0" fontId="156" fillId="0" borderId="0" xfId="0" applyFont="1" applyAlignment="1">
      <alignment horizontal="right"/>
    </xf>
    <xf numFmtId="1" fontId="156" fillId="0" borderId="0" xfId="0" applyNumberFormat="1" applyFont="1" applyAlignment="1">
      <alignment horizontal="left"/>
    </xf>
    <xf numFmtId="1" fontId="7" fillId="0" borderId="0" xfId="0" applyNumberFormat="1" applyFont="1" applyAlignment="1">
      <alignment horizontal="center"/>
    </xf>
    <xf numFmtId="0" fontId="4" fillId="0" borderId="0" xfId="0" applyFont="1" applyAlignment="1" applyProtection="1">
      <alignment horizontal="right"/>
      <protection locked="0"/>
    </xf>
    <xf numFmtId="0" fontId="76" fillId="0" borderId="9" xfId="0" applyFont="1" applyBorder="1" applyAlignment="1">
      <alignment vertical="center"/>
    </xf>
    <xf numFmtId="170" fontId="16" fillId="0" borderId="1" xfId="4" applyNumberFormat="1" applyFont="1" applyFill="1" applyBorder="1" applyProtection="1"/>
    <xf numFmtId="177" fontId="134" fillId="0" borderId="0" xfId="0" applyNumberFormat="1" applyFont="1"/>
    <xf numFmtId="0" fontId="68" fillId="17" borderId="0" xfId="0" applyFont="1" applyFill="1"/>
    <xf numFmtId="0" fontId="162" fillId="0" borderId="0" xfId="0" applyFont="1"/>
    <xf numFmtId="178" fontId="0" fillId="0" borderId="0" xfId="0" applyNumberFormat="1"/>
    <xf numFmtId="6" fontId="0" fillId="0" borderId="0" xfId="0" applyNumberFormat="1"/>
    <xf numFmtId="174" fontId="0" fillId="0" borderId="0" xfId="0" applyNumberFormat="1"/>
    <xf numFmtId="174" fontId="134" fillId="0" borderId="0" xfId="1" applyNumberFormat="1" applyFont="1"/>
    <xf numFmtId="174" fontId="134" fillId="23" borderId="0" xfId="0" applyNumberFormat="1" applyFont="1" applyFill="1"/>
    <xf numFmtId="0" fontId="134" fillId="17" borderId="0" xfId="0" applyFont="1" applyFill="1"/>
    <xf numFmtId="0" fontId="134" fillId="23" borderId="0" xfId="0" applyFont="1" applyFill="1" applyAlignment="1">
      <alignment horizontal="right"/>
    </xf>
    <xf numFmtId="2" fontId="134" fillId="24" borderId="0" xfId="0" applyNumberFormat="1" applyFont="1" applyFill="1"/>
    <xf numFmtId="0" fontId="134" fillId="24" borderId="0" xfId="0" applyFont="1" applyFill="1"/>
    <xf numFmtId="3" fontId="134" fillId="0" borderId="0" xfId="0" applyNumberFormat="1" applyFont="1"/>
    <xf numFmtId="1" fontId="47" fillId="0" borderId="16" xfId="0" applyNumberFormat="1" applyFont="1" applyBorder="1" applyAlignment="1">
      <alignment horizontal="center"/>
    </xf>
    <xf numFmtId="0" fontId="19" fillId="0" borderId="5" xfId="0" applyFont="1" applyBorder="1" applyAlignment="1">
      <alignment horizontal="center"/>
    </xf>
    <xf numFmtId="0" fontId="115" fillId="0" borderId="8" xfId="0" applyFont="1" applyBorder="1"/>
    <xf numFmtId="0" fontId="115" fillId="0" borderId="2" xfId="0" applyFont="1" applyBorder="1"/>
    <xf numFmtId="0" fontId="137" fillId="17" borderId="0" xfId="0" applyFont="1" applyFill="1" applyAlignment="1">
      <alignment horizontal="right"/>
    </xf>
    <xf numFmtId="43" fontId="134" fillId="17" borderId="0" xfId="1" applyFont="1" applyFill="1"/>
    <xf numFmtId="0" fontId="2" fillId="8" borderId="0" xfId="0" applyFont="1" applyFill="1"/>
    <xf numFmtId="167" fontId="139" fillId="0" borderId="0" xfId="1" applyNumberFormat="1" applyFont="1" applyFill="1"/>
    <xf numFmtId="0" fontId="134" fillId="19" borderId="0" xfId="0" applyFont="1" applyFill="1"/>
    <xf numFmtId="0" fontId="101" fillId="0" borderId="3" xfId="3" applyFont="1" applyFill="1" applyBorder="1" applyAlignment="1" applyProtection="1">
      <alignment horizontal="center"/>
    </xf>
    <xf numFmtId="0" fontId="166" fillId="0" borderId="0" xfId="0" applyFont="1"/>
    <xf numFmtId="0" fontId="164" fillId="0" borderId="0" xfId="0" applyFont="1" applyAlignment="1">
      <alignment textRotation="180"/>
    </xf>
    <xf numFmtId="0" fontId="165" fillId="0" borderId="0" xfId="0" applyFont="1" applyAlignment="1">
      <alignment textRotation="180"/>
    </xf>
    <xf numFmtId="0" fontId="86" fillId="8" borderId="6" xfId="0" applyFont="1" applyFill="1" applyBorder="1"/>
    <xf numFmtId="0" fontId="86" fillId="8" borderId="5" xfId="0" applyFont="1" applyFill="1" applyBorder="1"/>
    <xf numFmtId="0" fontId="86" fillId="8" borderId="4" xfId="0" applyFont="1" applyFill="1" applyBorder="1"/>
    <xf numFmtId="0" fontId="137" fillId="14" borderId="0" xfId="0" applyFont="1" applyFill="1"/>
    <xf numFmtId="0" fontId="104" fillId="0" borderId="1" xfId="0" applyFont="1" applyBorder="1"/>
    <xf numFmtId="0" fontId="167" fillId="0" borderId="0" xfId="0" applyFont="1"/>
    <xf numFmtId="43" fontId="167" fillId="0" borderId="0" xfId="1" applyFont="1"/>
    <xf numFmtId="0" fontId="2" fillId="8" borderId="12" xfId="0" applyFont="1" applyFill="1" applyBorder="1" applyAlignment="1">
      <alignment horizontal="left"/>
    </xf>
    <xf numFmtId="0" fontId="131" fillId="0" borderId="0" xfId="0" applyFont="1" applyAlignment="1">
      <alignment horizontal="right"/>
    </xf>
    <xf numFmtId="169" fontId="134" fillId="0" borderId="0" xfId="4" applyNumberFormat="1" applyFont="1"/>
    <xf numFmtId="3" fontId="0" fillId="17" borderId="0" xfId="0" applyNumberFormat="1" applyFill="1"/>
    <xf numFmtId="0" fontId="139" fillId="0" borderId="0" xfId="4" applyNumberFormat="1" applyFont="1"/>
    <xf numFmtId="0" fontId="137" fillId="0" borderId="0" xfId="0" applyFont="1" applyAlignment="1">
      <alignment horizontal="right"/>
    </xf>
    <xf numFmtId="3" fontId="68" fillId="0" borderId="0" xfId="0" applyNumberFormat="1" applyFont="1"/>
    <xf numFmtId="3" fontId="134" fillId="0" borderId="0" xfId="4" applyNumberFormat="1" applyFont="1"/>
    <xf numFmtId="0" fontId="100" fillId="13" borderId="7" xfId="3" applyFont="1" applyFill="1" applyBorder="1" applyAlignment="1" applyProtection="1">
      <alignment horizontal="center"/>
      <protection locked="0"/>
    </xf>
    <xf numFmtId="0" fontId="101" fillId="13" borderId="7" xfId="3" applyFont="1" applyFill="1" applyBorder="1" applyAlignment="1" applyProtection="1">
      <alignment horizontal="center"/>
      <protection locked="0"/>
    </xf>
    <xf numFmtId="0" fontId="101" fillId="13" borderId="6" xfId="3" applyFont="1" applyFill="1" applyBorder="1" applyAlignment="1" applyProtection="1">
      <alignment horizontal="center"/>
      <protection locked="0"/>
    </xf>
    <xf numFmtId="0" fontId="163" fillId="13" borderId="7" xfId="3" applyFont="1" applyFill="1" applyBorder="1" applyAlignment="1" applyProtection="1">
      <alignment horizontal="center"/>
      <protection locked="0"/>
    </xf>
    <xf numFmtId="0" fontId="168" fillId="13" borderId="7" xfId="3" applyFont="1" applyFill="1" applyBorder="1" applyAlignment="1" applyProtection="1">
      <alignment horizontal="center"/>
      <protection locked="0"/>
    </xf>
    <xf numFmtId="0" fontId="102" fillId="0" borderId="8" xfId="3" applyFont="1" applyFill="1" applyBorder="1" applyAlignment="1" applyProtection="1">
      <alignment horizontal="center"/>
      <protection locked="0"/>
    </xf>
    <xf numFmtId="0" fontId="170" fillId="0" borderId="0" xfId="0" applyFont="1" applyAlignment="1">
      <alignment horizontal="center"/>
    </xf>
    <xf numFmtId="0" fontId="1" fillId="9" borderId="14" xfId="0" applyFont="1" applyFill="1" applyBorder="1" applyAlignment="1">
      <alignment horizontal="center"/>
    </xf>
    <xf numFmtId="0" fontId="25" fillId="8" borderId="0" xfId="0" applyFont="1" applyFill="1" applyAlignment="1">
      <alignment horizontal="center"/>
    </xf>
    <xf numFmtId="0" fontId="25" fillId="0" borderId="0" xfId="0" applyFont="1" applyAlignment="1">
      <alignment horizontal="center"/>
    </xf>
    <xf numFmtId="0" fontId="25" fillId="17" borderId="4" xfId="0" applyFont="1" applyFill="1" applyBorder="1" applyAlignment="1">
      <alignment horizontal="center"/>
    </xf>
    <xf numFmtId="0" fontId="134" fillId="0" borderId="0" xfId="4" applyNumberFormat="1" applyFont="1"/>
    <xf numFmtId="0" fontId="171" fillId="0" borderId="0" xfId="0" applyFont="1"/>
    <xf numFmtId="0" fontId="172" fillId="4" borderId="4" xfId="0" applyFont="1" applyFill="1" applyBorder="1" applyAlignment="1">
      <alignment horizontal="left"/>
    </xf>
    <xf numFmtId="0" fontId="174" fillId="22" borderId="0" xfId="0" applyFont="1" applyFill="1"/>
    <xf numFmtId="0" fontId="68" fillId="0" borderId="0" xfId="0" applyFont="1" applyAlignment="1">
      <alignment horizontal="left" indent="2"/>
    </xf>
    <xf numFmtId="3" fontId="0" fillId="19" borderId="0" xfId="0" applyNumberFormat="1" applyFill="1"/>
    <xf numFmtId="0" fontId="0" fillId="19" borderId="0" xfId="0" applyFill="1"/>
    <xf numFmtId="169" fontId="134" fillId="0" borderId="0" xfId="4" applyNumberFormat="1" applyFont="1" applyFill="1"/>
    <xf numFmtId="2" fontId="154" fillId="0" borderId="0" xfId="0" applyNumberFormat="1" applyFont="1"/>
    <xf numFmtId="43" fontId="139" fillId="0" borderId="0" xfId="1" applyFont="1" applyFill="1"/>
    <xf numFmtId="0" fontId="134" fillId="17" borderId="0" xfId="0" applyFont="1" applyFill="1" applyAlignment="1">
      <alignment horizontal="right"/>
    </xf>
    <xf numFmtId="41" fontId="134" fillId="0" borderId="0" xfId="0" applyNumberFormat="1" applyFont="1"/>
    <xf numFmtId="167" fontId="134" fillId="25" borderId="0" xfId="1" applyNumberFormat="1" applyFont="1" applyFill="1"/>
    <xf numFmtId="0" fontId="134" fillId="25" borderId="0" xfId="0" applyFont="1" applyFill="1"/>
    <xf numFmtId="43" fontId="134" fillId="25" borderId="0" xfId="1" applyFont="1" applyFill="1" applyAlignment="1">
      <alignment horizontal="right"/>
    </xf>
    <xf numFmtId="0" fontId="68" fillId="0" borderId="0" xfId="0" applyFont="1" applyAlignment="1">
      <alignment horizontal="center"/>
    </xf>
    <xf numFmtId="0" fontId="134" fillId="19" borderId="0" xfId="1" applyNumberFormat="1" applyFont="1" applyFill="1"/>
    <xf numFmtId="0" fontId="31" fillId="0" borderId="9" xfId="0" applyFont="1" applyBorder="1"/>
    <xf numFmtId="0" fontId="68" fillId="19" borderId="0" xfId="0" applyFont="1" applyFill="1"/>
    <xf numFmtId="0" fontId="68" fillId="0" borderId="0" xfId="0" applyFont="1" applyAlignment="1">
      <alignment horizontal="right"/>
    </xf>
    <xf numFmtId="0" fontId="176" fillId="0" borderId="0" xfId="0" applyFont="1" applyAlignment="1">
      <alignment horizontal="right"/>
    </xf>
    <xf numFmtId="0" fontId="98" fillId="0" borderId="6" xfId="0" applyFont="1" applyBorder="1" applyAlignment="1">
      <alignment horizontal="right"/>
    </xf>
    <xf numFmtId="169" fontId="98" fillId="0" borderId="4" xfId="0" applyNumberFormat="1" applyFont="1" applyBorder="1" applyAlignment="1">
      <alignment horizontal="center"/>
    </xf>
    <xf numFmtId="0" fontId="109" fillId="0" borderId="6" xfId="0" applyFont="1" applyBorder="1" applyAlignment="1">
      <alignment horizontal="right"/>
    </xf>
    <xf numFmtId="169" fontId="108" fillId="17" borderId="0" xfId="0" applyNumberFormat="1" applyFont="1" applyFill="1" applyAlignment="1" applyProtection="1">
      <alignment horizontal="center"/>
      <protection locked="0"/>
    </xf>
    <xf numFmtId="14" fontId="126" fillId="0" borderId="10" xfId="0" applyNumberFormat="1" applyFont="1" applyBorder="1"/>
    <xf numFmtId="0" fontId="1" fillId="0" borderId="0" xfId="0" applyFont="1" applyAlignment="1">
      <alignment horizontal="right"/>
    </xf>
    <xf numFmtId="0" fontId="4" fillId="0" borderId="0" xfId="0" applyFont="1" applyAlignment="1">
      <alignment horizontal="left" vertical="top" wrapText="1"/>
    </xf>
    <xf numFmtId="9" fontId="65" fillId="0" borderId="4" xfId="4" applyFont="1" applyBorder="1" applyAlignment="1" applyProtection="1">
      <alignment horizontal="left"/>
    </xf>
    <xf numFmtId="0" fontId="0" fillId="0" borderId="0" xfId="0" applyAlignment="1">
      <alignment vertical="top"/>
    </xf>
    <xf numFmtId="2" fontId="24" fillId="0" borderId="9" xfId="0" applyNumberFormat="1" applyFont="1" applyBorder="1" applyAlignment="1">
      <alignment horizontal="right"/>
    </xf>
    <xf numFmtId="4" fontId="134" fillId="0" borderId="0" xfId="4" applyNumberFormat="1" applyFont="1"/>
    <xf numFmtId="39" fontId="145" fillId="4" borderId="10" xfId="0" applyNumberFormat="1" applyFont="1" applyFill="1" applyBorder="1" applyAlignment="1" applyProtection="1">
      <alignment horizontal="right"/>
      <protection locked="0"/>
    </xf>
    <xf numFmtId="0" fontId="169" fillId="0" borderId="0" xfId="0" applyFont="1" applyAlignment="1">
      <alignment vertical="center"/>
    </xf>
    <xf numFmtId="0" fontId="179" fillId="0" borderId="0" xfId="0" applyFont="1" applyAlignment="1">
      <alignment vertical="center"/>
    </xf>
    <xf numFmtId="175" fontId="180" fillId="0" borderId="0" xfId="0" applyNumberFormat="1" applyFont="1" applyAlignment="1">
      <alignment horizontal="left"/>
    </xf>
    <xf numFmtId="0" fontId="181" fillId="0" borderId="0" xfId="0" applyFont="1"/>
    <xf numFmtId="0" fontId="131" fillId="0" borderId="0" xfId="0" applyFont="1" applyAlignment="1">
      <alignment horizontal="center"/>
    </xf>
    <xf numFmtId="0" fontId="74" fillId="9" borderId="6" xfId="3" applyFont="1" applyFill="1" applyBorder="1" applyAlignment="1" applyProtection="1">
      <alignment horizontal="center"/>
    </xf>
    <xf numFmtId="0" fontId="74" fillId="9" borderId="5" xfId="3" applyFont="1" applyFill="1" applyBorder="1" applyAlignment="1" applyProtection="1">
      <alignment horizontal="center"/>
    </xf>
    <xf numFmtId="0" fontId="74" fillId="9" borderId="4" xfId="3" applyFont="1" applyFill="1" applyBorder="1" applyAlignment="1" applyProtection="1">
      <alignment horizontal="center"/>
    </xf>
    <xf numFmtId="0" fontId="24" fillId="0" borderId="0" xfId="0" applyFont="1" applyAlignment="1">
      <alignment horizontal="left"/>
    </xf>
    <xf numFmtId="0" fontId="25"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56" fillId="0" borderId="0" xfId="0" applyFont="1" applyAlignment="1">
      <alignment horizontal="left"/>
    </xf>
    <xf numFmtId="0" fontId="67" fillId="0" borderId="0" xfId="3" applyFont="1" applyAlignment="1" applyProtection="1">
      <alignment horizontal="left" vertical="center" wrapText="1"/>
    </xf>
    <xf numFmtId="0" fontId="135" fillId="0" borderId="0" xfId="0" applyFont="1" applyAlignment="1">
      <alignment horizontal="left" wrapText="1"/>
    </xf>
    <xf numFmtId="0" fontId="95" fillId="0" borderId="0" xfId="0" applyFont="1" applyAlignment="1">
      <alignment horizontal="left" wrapText="1"/>
    </xf>
    <xf numFmtId="0" fontId="25" fillId="16" borderId="0" xfId="0" applyFont="1" applyFill="1" applyAlignment="1">
      <alignment horizontal="left" vertical="center" wrapText="1"/>
    </xf>
    <xf numFmtId="0" fontId="135" fillId="0" borderId="0" xfId="0" applyFont="1" applyAlignment="1">
      <alignment horizontal="left" vertical="top" wrapText="1"/>
    </xf>
    <xf numFmtId="0" fontId="25" fillId="0" borderId="0" xfId="0" applyFont="1" applyAlignment="1">
      <alignment horizontal="left" vertical="center" wrapText="1"/>
    </xf>
    <xf numFmtId="0" fontId="36" fillId="0" borderId="0" xfId="0" applyFont="1" applyAlignment="1">
      <alignment horizontal="left" wrapText="1"/>
    </xf>
    <xf numFmtId="0" fontId="4"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wrapText="1"/>
    </xf>
    <xf numFmtId="0" fontId="54" fillId="0" borderId="0" xfId="0" applyFont="1" applyAlignment="1">
      <alignment horizontal="left" vertical="top"/>
    </xf>
    <xf numFmtId="0" fontId="175" fillId="13" borderId="16" xfId="0" applyFont="1" applyFill="1" applyBorder="1" applyAlignment="1">
      <alignment horizontal="center" vertical="center" textRotation="90"/>
    </xf>
    <xf numFmtId="0" fontId="175" fillId="13" borderId="12" xfId="0" applyFont="1" applyFill="1" applyBorder="1" applyAlignment="1">
      <alignment horizontal="center" vertical="center" textRotation="90"/>
    </xf>
    <xf numFmtId="0" fontId="175" fillId="13" borderId="14" xfId="0" applyFont="1" applyFill="1" applyBorder="1" applyAlignment="1">
      <alignment horizontal="center" vertical="center" textRotation="90"/>
    </xf>
    <xf numFmtId="0" fontId="18" fillId="0" borderId="12" xfId="0" applyFont="1" applyBorder="1" applyAlignment="1">
      <alignment horizontal="left"/>
    </xf>
    <xf numFmtId="0" fontId="18" fillId="0" borderId="0" xfId="0" applyFont="1" applyAlignment="1">
      <alignment horizontal="left"/>
    </xf>
    <xf numFmtId="0" fontId="104" fillId="0" borderId="6" xfId="0" applyFont="1" applyBorder="1" applyAlignment="1">
      <alignment horizontal="center"/>
    </xf>
    <xf numFmtId="0" fontId="104" fillId="0" borderId="5" xfId="0" applyFont="1" applyBorder="1" applyAlignment="1">
      <alignment horizontal="center"/>
    </xf>
    <xf numFmtId="0" fontId="104" fillId="0" borderId="17" xfId="0" applyFont="1" applyBorder="1" applyAlignment="1">
      <alignment horizontal="center"/>
    </xf>
    <xf numFmtId="0" fontId="127" fillId="0" borderId="0" xfId="0" applyFont="1" applyAlignment="1">
      <alignment horizontal="center"/>
    </xf>
    <xf numFmtId="0" fontId="30" fillId="0" borderId="9" xfId="0" applyFont="1" applyBorder="1" applyAlignment="1">
      <alignment horizontal="center" vertical="top"/>
    </xf>
    <xf numFmtId="0" fontId="30" fillId="0" borderId="1" xfId="0" applyFont="1" applyBorder="1" applyAlignment="1">
      <alignment horizontal="center" vertical="top"/>
    </xf>
    <xf numFmtId="0" fontId="8" fillId="0" borderId="10" xfId="0" applyFont="1" applyBorder="1" applyAlignment="1">
      <alignment horizontal="left"/>
    </xf>
    <xf numFmtId="0" fontId="8" fillId="0" borderId="9" xfId="0" applyFont="1" applyBorder="1" applyAlignment="1">
      <alignment horizontal="left"/>
    </xf>
    <xf numFmtId="5" fontId="176" fillId="0" borderId="0" xfId="0" applyNumberFormat="1" applyFont="1" applyAlignment="1">
      <alignment horizontal="center"/>
    </xf>
    <xf numFmtId="0" fontId="49" fillId="0" borderId="8" xfId="0" applyFont="1" applyBorder="1" applyAlignment="1">
      <alignment horizontal="center"/>
    </xf>
    <xf numFmtId="0" fontId="180" fillId="0" borderId="8" xfId="0" applyFont="1" applyBorder="1" applyAlignment="1">
      <alignment horizontal="right"/>
    </xf>
    <xf numFmtId="0" fontId="61" fillId="8" borderId="6" xfId="0" applyFont="1" applyFill="1" applyBorder="1" applyAlignment="1">
      <alignment horizontal="center"/>
    </xf>
    <xf numFmtId="0" fontId="61" fillId="8" borderId="5" xfId="0" applyFont="1" applyFill="1" applyBorder="1" applyAlignment="1">
      <alignment horizontal="center"/>
    </xf>
    <xf numFmtId="0" fontId="61" fillId="8" borderId="4" xfId="0" applyFont="1" applyFill="1" applyBorder="1" applyAlignment="1">
      <alignment horizontal="center"/>
    </xf>
    <xf numFmtId="0" fontId="7" fillId="3" borderId="6" xfId="0" applyFont="1" applyFill="1" applyBorder="1" applyAlignment="1">
      <alignment horizontal="left"/>
    </xf>
    <xf numFmtId="0" fontId="7" fillId="3" borderId="5" xfId="0" applyFont="1" applyFill="1" applyBorder="1" applyAlignment="1">
      <alignment horizontal="left"/>
    </xf>
    <xf numFmtId="0" fontId="7" fillId="3" borderId="8" xfId="0" applyFont="1" applyFill="1" applyBorder="1" applyAlignment="1">
      <alignment horizontal="left"/>
    </xf>
    <xf numFmtId="0" fontId="39" fillId="0" borderId="0" xfId="0" applyFont="1" applyAlignment="1">
      <alignment horizontal="left"/>
    </xf>
    <xf numFmtId="0" fontId="26" fillId="0" borderId="10" xfId="0" applyFont="1" applyBorder="1" applyAlignment="1">
      <alignment horizontal="left"/>
    </xf>
    <xf numFmtId="0" fontId="26" fillId="0" borderId="9" xfId="0" applyFont="1" applyBorder="1" applyAlignment="1">
      <alignment horizontal="left"/>
    </xf>
    <xf numFmtId="0" fontId="13" fillId="0" borderId="0" xfId="0" applyFont="1" applyAlignment="1">
      <alignment horizontal="left"/>
    </xf>
    <xf numFmtId="0" fontId="52" fillId="0" borderId="0" xfId="0" applyFont="1" applyAlignment="1">
      <alignment horizontal="left"/>
    </xf>
    <xf numFmtId="172" fontId="125" fillId="0" borderId="0" xfId="0" applyNumberFormat="1" applyFont="1" applyAlignment="1" applyProtection="1">
      <alignment horizontal="center"/>
      <protection locked="0"/>
    </xf>
    <xf numFmtId="0" fontId="29" fillId="0" borderId="8" xfId="0" applyFont="1" applyBorder="1" applyAlignment="1">
      <alignment horizontal="left"/>
    </xf>
    <xf numFmtId="0" fontId="104" fillId="3" borderId="5" xfId="0" applyFont="1" applyFill="1" applyBorder="1" applyAlignment="1">
      <alignment horizontal="right"/>
    </xf>
    <xf numFmtId="0" fontId="13" fillId="0" borderId="10" xfId="0" applyFont="1" applyBorder="1" applyAlignment="1">
      <alignment horizontal="left"/>
    </xf>
    <xf numFmtId="0" fontId="13" fillId="0" borderId="9" xfId="0" applyFont="1" applyBorder="1" applyAlignment="1">
      <alignment horizontal="left"/>
    </xf>
    <xf numFmtId="0" fontId="6" fillId="0" borderId="9" xfId="0" applyFont="1" applyBorder="1" applyAlignment="1">
      <alignment horizontal="left"/>
    </xf>
    <xf numFmtId="0" fontId="7" fillId="0" borderId="0" xfId="0" applyFont="1" applyAlignment="1">
      <alignment horizontal="left"/>
    </xf>
    <xf numFmtId="0" fontId="16" fillId="0" borderId="8" xfId="0" applyFont="1" applyBorder="1" applyAlignment="1">
      <alignment horizontal="left"/>
    </xf>
    <xf numFmtId="0" fontId="28" fillId="0" borderId="8" xfId="0" applyFont="1" applyBorder="1" applyAlignment="1">
      <alignment horizontal="left"/>
    </xf>
    <xf numFmtId="166" fontId="24" fillId="3" borderId="6" xfId="4" applyNumberFormat="1" applyFont="1" applyFill="1" applyBorder="1" applyAlignment="1" applyProtection="1">
      <alignment horizontal="left"/>
    </xf>
    <xf numFmtId="166" fontId="24" fillId="3" borderId="5" xfId="4" applyNumberFormat="1" applyFont="1" applyFill="1" applyBorder="1" applyAlignment="1" applyProtection="1">
      <alignment horizontal="left"/>
    </xf>
    <xf numFmtId="0" fontId="113" fillId="0" borderId="5" xfId="0" applyFont="1" applyBorder="1" applyAlignment="1">
      <alignment horizontal="center"/>
    </xf>
    <xf numFmtId="0" fontId="7" fillId="20" borderId="6" xfId="0" applyFont="1" applyFill="1" applyBorder="1" applyAlignment="1">
      <alignment horizontal="left"/>
    </xf>
    <xf numFmtId="0" fontId="4" fillId="20" borderId="5" xfId="0" applyFont="1" applyFill="1" applyBorder="1" applyAlignment="1">
      <alignment horizontal="left"/>
    </xf>
    <xf numFmtId="0" fontId="107" fillId="0" borderId="10" xfId="0" applyFont="1" applyBorder="1" applyAlignment="1">
      <alignment horizontal="left"/>
    </xf>
    <xf numFmtId="0" fontId="107" fillId="0" borderId="9" xfId="0" applyFont="1" applyBorder="1" applyAlignment="1">
      <alignment horizontal="left"/>
    </xf>
    <xf numFmtId="0" fontId="18" fillId="0" borderId="8" xfId="0" applyFont="1" applyBorder="1" applyAlignment="1">
      <alignment horizontal="left"/>
    </xf>
    <xf numFmtId="0" fontId="24" fillId="3" borderId="6" xfId="0" applyFont="1" applyFill="1" applyBorder="1" applyAlignment="1">
      <alignment horizontal="left"/>
    </xf>
    <xf numFmtId="0" fontId="24" fillId="3" borderId="5" xfId="0" applyFont="1" applyFill="1" applyBorder="1" applyAlignment="1">
      <alignment horizontal="left"/>
    </xf>
    <xf numFmtId="0" fontId="114" fillId="0" borderId="0" xfId="0" applyFont="1" applyAlignment="1">
      <alignment horizontal="right"/>
    </xf>
    <xf numFmtId="0" fontId="133" fillId="0" borderId="0" xfId="3" applyFont="1" applyFill="1" applyBorder="1" applyAlignment="1" applyProtection="1">
      <alignment horizontal="center"/>
    </xf>
    <xf numFmtId="0" fontId="104" fillId="0" borderId="0" xfId="0" applyFont="1" applyAlignment="1">
      <alignment horizontal="center"/>
    </xf>
    <xf numFmtId="0" fontId="110" fillId="0" borderId="0" xfId="0" applyFont="1" applyAlignment="1">
      <alignment horizontal="right"/>
    </xf>
    <xf numFmtId="0" fontId="124" fillId="0" borderId="0" xfId="0" applyFont="1" applyAlignment="1">
      <alignment horizontal="right"/>
    </xf>
    <xf numFmtId="0" fontId="128" fillId="0" borderId="0" xfId="0" applyFont="1" applyAlignment="1">
      <alignment horizontal="left"/>
    </xf>
    <xf numFmtId="0" fontId="41" fillId="0" borderId="10" xfId="0" applyFont="1" applyBorder="1" applyAlignment="1">
      <alignment horizontal="left"/>
    </xf>
    <xf numFmtId="0" fontId="41" fillId="0" borderId="9" xfId="0" applyFont="1" applyBorder="1" applyAlignment="1">
      <alignment horizontal="left"/>
    </xf>
    <xf numFmtId="0" fontId="18" fillId="0" borderId="0" xfId="0" applyFont="1" applyAlignment="1">
      <alignment horizontal="center"/>
    </xf>
    <xf numFmtId="0" fontId="27" fillId="0" borderId="9" xfId="0" applyFont="1" applyBorder="1" applyAlignment="1">
      <alignment horizontal="right"/>
    </xf>
    <xf numFmtId="0" fontId="24" fillId="0" borderId="9" xfId="0" applyFont="1" applyBorder="1" applyAlignment="1">
      <alignment horizontal="left"/>
    </xf>
    <xf numFmtId="0" fontId="4" fillId="0" borderId="0" xfId="0" applyFont="1" applyAlignment="1">
      <alignment horizontal="center"/>
    </xf>
    <xf numFmtId="0" fontId="4" fillId="0" borderId="10" xfId="0" applyFont="1" applyBorder="1" applyAlignment="1">
      <alignment horizontal="left"/>
    </xf>
    <xf numFmtId="0" fontId="4" fillId="0" borderId="9" xfId="0" applyFont="1" applyBorder="1" applyAlignment="1">
      <alignment horizontal="left"/>
    </xf>
    <xf numFmtId="0" fontId="8" fillId="0" borderId="8" xfId="0" applyFont="1" applyBorder="1" applyAlignment="1">
      <alignment horizontal="center"/>
    </xf>
    <xf numFmtId="0" fontId="118" fillId="0" borderId="9" xfId="0" applyFont="1" applyBorder="1" applyAlignment="1">
      <alignment horizontal="right"/>
    </xf>
    <xf numFmtId="0" fontId="28" fillId="0" borderId="9" xfId="0" applyFont="1" applyBorder="1" applyAlignment="1">
      <alignment horizontal="left"/>
    </xf>
    <xf numFmtId="0" fontId="119" fillId="0" borderId="8" xfId="0" applyFont="1" applyBorder="1" applyAlignment="1">
      <alignment horizontal="left"/>
    </xf>
    <xf numFmtId="0" fontId="120" fillId="0" borderId="8" xfId="0" applyFont="1" applyBorder="1" applyAlignment="1">
      <alignment horizontal="right"/>
    </xf>
    <xf numFmtId="0" fontId="6" fillId="0" borderId="0" xfId="0" applyFont="1" applyAlignment="1">
      <alignment horizontal="right"/>
    </xf>
    <xf numFmtId="0" fontId="16" fillId="0" borderId="0" xfId="0" applyFont="1" applyAlignment="1">
      <alignment horizontal="left"/>
    </xf>
    <xf numFmtId="0" fontId="41" fillId="0" borderId="1" xfId="0" applyFont="1" applyBorder="1" applyAlignment="1">
      <alignment horizontal="left"/>
    </xf>
    <xf numFmtId="0" fontId="173" fillId="0" borderId="0" xfId="0" applyFont="1" applyAlignment="1">
      <alignment horizontal="left"/>
    </xf>
    <xf numFmtId="0" fontId="88" fillId="4" borderId="6" xfId="3" applyFont="1" applyFill="1" applyBorder="1" applyAlignment="1" applyProtection="1">
      <alignment horizontal="center"/>
    </xf>
    <xf numFmtId="0" fontId="75" fillId="4" borderId="4" xfId="3" applyFont="1" applyFill="1" applyBorder="1" applyAlignment="1" applyProtection="1">
      <alignment horizontal="center"/>
    </xf>
    <xf numFmtId="0" fontId="60" fillId="0" borderId="9" xfId="0" applyFont="1" applyBorder="1" applyAlignment="1">
      <alignment horizontal="right"/>
    </xf>
    <xf numFmtId="0" fontId="2" fillId="8" borderId="12" xfId="0" applyFont="1" applyFill="1" applyBorder="1" applyAlignment="1">
      <alignment horizontal="left"/>
    </xf>
    <xf numFmtId="0" fontId="2" fillId="8" borderId="0" xfId="0" applyFont="1" applyFill="1" applyAlignment="1">
      <alignment horizontal="left"/>
    </xf>
    <xf numFmtId="0" fontId="14" fillId="8" borderId="11" xfId="0" applyFont="1" applyFill="1" applyBorder="1" applyAlignment="1">
      <alignment horizontal="left"/>
    </xf>
    <xf numFmtId="0" fontId="14" fillId="8" borderId="8" xfId="0" applyFont="1" applyFill="1" applyBorder="1" applyAlignment="1">
      <alignment horizontal="left"/>
    </xf>
    <xf numFmtId="0" fontId="25" fillId="17" borderId="11" xfId="0" applyFont="1" applyFill="1" applyBorder="1" applyAlignment="1">
      <alignment horizontal="right"/>
    </xf>
    <xf numFmtId="0" fontId="25" fillId="17" borderId="8" xfId="0" applyFont="1" applyFill="1" applyBorder="1" applyAlignment="1">
      <alignment horizontal="right"/>
    </xf>
    <xf numFmtId="0" fontId="2" fillId="3" borderId="12" xfId="0" applyFont="1" applyFill="1" applyBorder="1" applyAlignment="1">
      <alignment horizontal="left"/>
    </xf>
    <xf numFmtId="0" fontId="2" fillId="3" borderId="0" xfId="0" applyFont="1" applyFill="1" applyAlignment="1">
      <alignment horizontal="left"/>
    </xf>
    <xf numFmtId="0" fontId="1" fillId="0" borderId="0" xfId="0" applyFont="1" applyAlignment="1">
      <alignment horizontal="left"/>
    </xf>
    <xf numFmtId="0" fontId="28" fillId="0" borderId="0" xfId="0" applyFont="1"/>
    <xf numFmtId="0" fontId="136" fillId="0" borderId="10" xfId="0" applyFont="1" applyBorder="1" applyAlignment="1">
      <alignment horizontal="left"/>
    </xf>
    <xf numFmtId="0" fontId="136" fillId="0" borderId="9" xfId="0" applyFont="1" applyBorder="1" applyAlignment="1">
      <alignment horizontal="left"/>
    </xf>
    <xf numFmtId="0" fontId="8" fillId="0" borderId="8" xfId="0" applyFont="1" applyBorder="1" applyAlignment="1">
      <alignment horizontal="left"/>
    </xf>
    <xf numFmtId="0" fontId="40" fillId="0" borderId="0" xfId="0" applyFont="1" applyAlignment="1">
      <alignment horizontal="left"/>
    </xf>
    <xf numFmtId="0" fontId="28" fillId="0" borderId="12" xfId="0" applyFont="1" applyBorder="1" applyAlignment="1">
      <alignment horizontal="left"/>
    </xf>
    <xf numFmtId="0" fontId="28" fillId="0" borderId="0" xfId="0" applyFont="1" applyAlignment="1">
      <alignment horizontal="left"/>
    </xf>
    <xf numFmtId="0" fontId="16" fillId="0" borderId="9" xfId="0" applyFont="1" applyBorder="1" applyAlignment="1">
      <alignment horizontal="left"/>
    </xf>
    <xf numFmtId="0" fontId="16" fillId="0" borderId="1" xfId="0" applyFont="1" applyBorder="1" applyAlignment="1">
      <alignment horizontal="left"/>
    </xf>
    <xf numFmtId="0" fontId="118" fillId="0" borderId="0" xfId="0" applyFont="1" applyAlignment="1">
      <alignment horizontal="center"/>
    </xf>
    <xf numFmtId="0" fontId="28" fillId="0" borderId="2" xfId="0" applyFont="1" applyBorder="1" applyAlignment="1">
      <alignment horizontal="left"/>
    </xf>
    <xf numFmtId="0" fontId="18" fillId="0" borderId="10" xfId="0" applyFont="1" applyBorder="1" applyAlignment="1">
      <alignment horizontal="left"/>
    </xf>
    <xf numFmtId="0" fontId="18" fillId="0" borderId="9" xfId="0" applyFont="1" applyBorder="1" applyAlignment="1">
      <alignment horizontal="left"/>
    </xf>
    <xf numFmtId="166" fontId="27" fillId="0" borderId="0" xfId="4" applyNumberFormat="1" applyFont="1" applyFill="1" applyBorder="1" applyAlignment="1" applyProtection="1">
      <alignment horizontal="left"/>
    </xf>
    <xf numFmtId="0" fontId="25" fillId="0" borderId="0" xfId="0" applyFont="1" applyAlignment="1" applyProtection="1">
      <alignment horizontal="center"/>
      <protection locked="0"/>
    </xf>
    <xf numFmtId="0" fontId="93" fillId="0" borderId="0" xfId="0" applyFont="1" applyAlignment="1">
      <alignment horizontal="center"/>
    </xf>
    <xf numFmtId="0" fontId="70" fillId="0" borderId="0" xfId="0" applyFont="1" applyAlignment="1">
      <alignment horizontal="right"/>
    </xf>
    <xf numFmtId="0" fontId="70" fillId="0" borderId="8" xfId="0" applyFont="1" applyBorder="1" applyAlignment="1">
      <alignment horizontal="right"/>
    </xf>
    <xf numFmtId="0" fontId="70" fillId="0" borderId="5" xfId="0" applyFont="1" applyBorder="1" applyAlignment="1">
      <alignment horizontal="right"/>
    </xf>
    <xf numFmtId="0" fontId="11" fillId="0" borderId="10" xfId="0" applyFont="1" applyBorder="1" applyAlignment="1">
      <alignment horizontal="left"/>
    </xf>
    <xf numFmtId="0" fontId="11" fillId="0" borderId="9" xfId="0" applyFont="1" applyBorder="1" applyAlignment="1">
      <alignment horizontal="left"/>
    </xf>
    <xf numFmtId="0" fontId="4" fillId="3" borderId="5" xfId="0" quotePrefix="1" applyFont="1" applyFill="1" applyBorder="1" applyAlignment="1">
      <alignment horizontal="left"/>
    </xf>
    <xf numFmtId="0" fontId="4" fillId="3" borderId="4" xfId="0" quotePrefix="1" applyFont="1" applyFill="1" applyBorder="1" applyAlignment="1">
      <alignment horizontal="left"/>
    </xf>
    <xf numFmtId="0" fontId="104" fillId="0" borderId="4" xfId="0" applyFont="1" applyBorder="1" applyAlignment="1">
      <alignment horizontal="center"/>
    </xf>
    <xf numFmtId="0" fontId="132" fillId="0" borderId="6" xfId="0" applyFont="1" applyBorder="1" applyAlignment="1">
      <alignment horizontal="left" vertical="center" wrapText="1"/>
    </xf>
    <xf numFmtId="0" fontId="132" fillId="0" borderId="5" xfId="0" applyFont="1" applyBorder="1" applyAlignment="1">
      <alignment horizontal="left" vertical="center" wrapText="1"/>
    </xf>
    <xf numFmtId="0" fontId="132" fillId="0" borderId="4" xfId="0" applyFont="1" applyBorder="1" applyAlignment="1">
      <alignment horizontal="left" vertical="center" wrapText="1"/>
    </xf>
    <xf numFmtId="0" fontId="151" fillId="0" borderId="0" xfId="0" applyFont="1" applyAlignment="1">
      <alignment horizontal="center" vertical="top"/>
    </xf>
    <xf numFmtId="0" fontId="91" fillId="0" borderId="0" xfId="0" applyFont="1" applyAlignment="1">
      <alignment horizontal="center"/>
    </xf>
    <xf numFmtId="0" fontId="48" fillId="0" borderId="8" xfId="0" applyFont="1" applyBorder="1" applyAlignment="1">
      <alignment horizontal="center"/>
    </xf>
    <xf numFmtId="0" fontId="48" fillId="0" borderId="2" xfId="0" applyFont="1" applyBorder="1" applyAlignment="1">
      <alignment horizontal="center"/>
    </xf>
    <xf numFmtId="0" fontId="177" fillId="9" borderId="6" xfId="3" applyFont="1" applyFill="1" applyBorder="1" applyAlignment="1" applyProtection="1">
      <alignment horizontal="center"/>
    </xf>
    <xf numFmtId="0" fontId="133" fillId="9" borderId="5" xfId="3" applyFont="1" applyFill="1" applyBorder="1" applyAlignment="1" applyProtection="1">
      <alignment horizontal="center"/>
    </xf>
    <xf numFmtId="0" fontId="118" fillId="0" borderId="5" xfId="0" applyFont="1" applyBorder="1" applyAlignment="1">
      <alignment horizontal="right"/>
    </xf>
    <xf numFmtId="0" fontId="124" fillId="0" borderId="6" xfId="0" applyFont="1" applyBorder="1" applyAlignment="1">
      <alignment horizontal="right"/>
    </xf>
    <xf numFmtId="0" fontId="124" fillId="0" borderId="5" xfId="0" applyFont="1" applyBorder="1" applyAlignment="1">
      <alignment horizontal="right"/>
    </xf>
    <xf numFmtId="172" fontId="125" fillId="9" borderId="5" xfId="0" applyNumberFormat="1" applyFont="1" applyFill="1" applyBorder="1" applyAlignment="1" applyProtection="1">
      <alignment horizontal="center"/>
      <protection locked="0"/>
    </xf>
    <xf numFmtId="172" fontId="125" fillId="9" borderId="4" xfId="0" applyNumberFormat="1" applyFont="1" applyFill="1" applyBorder="1" applyAlignment="1" applyProtection="1">
      <alignment horizontal="center"/>
      <protection locked="0"/>
    </xf>
    <xf numFmtId="0" fontId="28" fillId="0" borderId="10" xfId="0" applyFont="1" applyBorder="1" applyAlignment="1">
      <alignment horizontal="left"/>
    </xf>
    <xf numFmtId="2" fontId="29" fillId="0" borderId="0" xfId="0" applyNumberFormat="1" applyFont="1" applyAlignment="1">
      <alignment horizontal="left"/>
    </xf>
    <xf numFmtId="166" fontId="24" fillId="3" borderId="9" xfId="4" applyNumberFormat="1" applyFont="1" applyFill="1" applyBorder="1" applyAlignment="1" applyProtection="1">
      <alignment horizontal="left"/>
    </xf>
    <xf numFmtId="0" fontId="25" fillId="3" borderId="5" xfId="0" applyFont="1" applyFill="1" applyBorder="1" applyAlignment="1">
      <alignment horizontal="left"/>
    </xf>
    <xf numFmtId="0" fontId="1" fillId="8" borderId="12" xfId="0" applyFont="1" applyFill="1" applyBorder="1" applyAlignment="1">
      <alignment horizontal="left"/>
    </xf>
    <xf numFmtId="0" fontId="1" fillId="8" borderId="0" xfId="0" applyFont="1" applyFill="1" applyAlignment="1">
      <alignment horizontal="left"/>
    </xf>
    <xf numFmtId="0" fontId="2" fillId="8" borderId="10" xfId="0" applyFont="1" applyFill="1" applyBorder="1" applyAlignment="1">
      <alignment horizontal="left"/>
    </xf>
    <xf numFmtId="0" fontId="2" fillId="8" borderId="9" xfId="0" applyFont="1" applyFill="1" applyBorder="1" applyAlignment="1">
      <alignment horizontal="left"/>
    </xf>
    <xf numFmtId="9" fontId="2" fillId="8" borderId="12" xfId="0" applyNumberFormat="1" applyFont="1" applyFill="1" applyBorder="1" applyAlignment="1">
      <alignment horizontal="left"/>
    </xf>
    <xf numFmtId="9" fontId="2" fillId="8" borderId="0" xfId="0" applyNumberFormat="1" applyFont="1" applyFill="1" applyAlignment="1">
      <alignment horizontal="left"/>
    </xf>
    <xf numFmtId="0" fontId="25" fillId="17" borderId="6" xfId="3" applyFont="1" applyFill="1" applyBorder="1" applyAlignment="1" applyProtection="1">
      <alignment horizontal="right" vertical="center"/>
    </xf>
    <xf numFmtId="0" fontId="25" fillId="17" borderId="5" xfId="3" applyFont="1" applyFill="1" applyBorder="1" applyAlignment="1" applyProtection="1">
      <alignment horizontal="right" vertical="center"/>
    </xf>
    <xf numFmtId="0" fontId="85" fillId="3" borderId="6" xfId="0" applyFont="1" applyFill="1" applyBorder="1" applyAlignment="1">
      <alignment horizontal="center"/>
    </xf>
    <xf numFmtId="0" fontId="85" fillId="3" borderId="5" xfId="0" applyFont="1" applyFill="1" applyBorder="1" applyAlignment="1">
      <alignment horizontal="center"/>
    </xf>
    <xf numFmtId="0" fontId="85" fillId="3" borderId="4" xfId="0" applyFont="1" applyFill="1" applyBorder="1" applyAlignment="1">
      <alignment horizontal="center"/>
    </xf>
    <xf numFmtId="9" fontId="2" fillId="3" borderId="12" xfId="0" applyNumberFormat="1" applyFont="1" applyFill="1" applyBorder="1" applyAlignment="1">
      <alignment horizontal="left"/>
    </xf>
    <xf numFmtId="9" fontId="2" fillId="3" borderId="0" xfId="0" applyNumberFormat="1" applyFont="1" applyFill="1" applyAlignment="1">
      <alignment horizontal="left"/>
    </xf>
    <xf numFmtId="0" fontId="14" fillId="3" borderId="12" xfId="0" applyFont="1" applyFill="1" applyBorder="1" applyAlignment="1">
      <alignment horizontal="left"/>
    </xf>
    <xf numFmtId="0" fontId="14" fillId="3" borderId="0" xfId="0" applyFont="1" applyFill="1" applyAlignment="1">
      <alignment horizontal="left"/>
    </xf>
    <xf numFmtId="0" fontId="1" fillId="3" borderId="11" xfId="0" applyFont="1" applyFill="1" applyBorder="1" applyAlignment="1">
      <alignment horizontal="left"/>
    </xf>
    <xf numFmtId="0" fontId="1" fillId="3" borderId="8" xfId="0" applyFont="1" applyFill="1" applyBorder="1" applyAlignment="1">
      <alignment horizontal="left"/>
    </xf>
    <xf numFmtId="0" fontId="1" fillId="3" borderId="12" xfId="0" applyFont="1" applyFill="1" applyBorder="1" applyAlignment="1">
      <alignment horizontal="left"/>
    </xf>
    <xf numFmtId="0" fontId="1" fillId="3" borderId="0" xfId="0" applyFont="1" applyFill="1" applyAlignment="1">
      <alignment horizontal="left"/>
    </xf>
    <xf numFmtId="0" fontId="54" fillId="0" borderId="0" xfId="0" applyFont="1" applyAlignment="1">
      <alignment horizontal="left" vertical="top" wrapText="1"/>
    </xf>
    <xf numFmtId="0" fontId="73" fillId="9" borderId="6" xfId="3" applyFont="1" applyFill="1" applyBorder="1" applyAlignment="1" applyProtection="1">
      <alignment horizontal="center"/>
    </xf>
    <xf numFmtId="0" fontId="73" fillId="9" borderId="5" xfId="3" applyFont="1" applyFill="1" applyBorder="1" applyAlignment="1" applyProtection="1">
      <alignment horizontal="center"/>
    </xf>
    <xf numFmtId="0" fontId="73" fillId="9" borderId="4" xfId="3" applyFont="1" applyFill="1" applyBorder="1" applyAlignment="1" applyProtection="1">
      <alignment horizontal="center"/>
    </xf>
    <xf numFmtId="0" fontId="1" fillId="0" borderId="0" xfId="0" applyFont="1" applyAlignment="1">
      <alignment horizontal="left" vertical="top" wrapText="1"/>
    </xf>
    <xf numFmtId="0" fontId="73" fillId="0" borderId="0" xfId="3" applyFont="1" applyFill="1" applyBorder="1" applyAlignment="1" applyProtection="1">
      <alignment horizontal="center"/>
    </xf>
    <xf numFmtId="0" fontId="80" fillId="9" borderId="6" xfId="3" applyFont="1" applyFill="1" applyBorder="1" applyAlignment="1" applyProtection="1">
      <alignment horizontal="center"/>
    </xf>
    <xf numFmtId="0" fontId="80" fillId="9" borderId="5" xfId="3" applyFont="1" applyFill="1" applyBorder="1" applyAlignment="1" applyProtection="1">
      <alignment horizontal="center"/>
    </xf>
    <xf numFmtId="0" fontId="80" fillId="9" borderId="4" xfId="3" applyFont="1" applyFill="1" applyBorder="1" applyAlignment="1" applyProtection="1">
      <alignment horizontal="center"/>
    </xf>
    <xf numFmtId="0" fontId="81" fillId="0" borderId="0" xfId="0" applyFont="1" applyAlignment="1">
      <alignment horizontal="center"/>
    </xf>
    <xf numFmtId="0" fontId="54" fillId="0" borderId="0" xfId="0" applyFont="1" applyAlignment="1">
      <alignment horizontal="center" vertical="top" wrapText="1"/>
    </xf>
    <xf numFmtId="0" fontId="1" fillId="0" borderId="0" xfId="0" applyFont="1" applyAlignment="1">
      <alignment horizontal="left" wrapText="1"/>
    </xf>
    <xf numFmtId="0" fontId="1" fillId="0" borderId="0" xfId="0" applyFont="1" applyAlignment="1">
      <alignment horizontal="center" vertical="top"/>
    </xf>
    <xf numFmtId="0" fontId="0" fillId="0" borderId="0" xfId="0"/>
    <xf numFmtId="0" fontId="14" fillId="0" borderId="0" xfId="0" applyFont="1" applyAlignment="1">
      <alignment horizontal="left" wrapText="1"/>
    </xf>
    <xf numFmtId="0" fontId="78" fillId="9" borderId="6" xfId="3" applyFont="1" applyFill="1" applyBorder="1" applyAlignment="1" applyProtection="1">
      <alignment horizontal="center"/>
    </xf>
    <xf numFmtId="0" fontId="78" fillId="9" borderId="5" xfId="3" applyFont="1" applyFill="1" applyBorder="1" applyAlignment="1" applyProtection="1">
      <alignment horizontal="center"/>
    </xf>
    <xf numFmtId="0" fontId="78" fillId="9" borderId="4" xfId="3" applyFont="1" applyFill="1" applyBorder="1" applyAlignment="1" applyProtection="1">
      <alignment horizontal="center"/>
    </xf>
    <xf numFmtId="0" fontId="112" fillId="0" borderId="0" xfId="0" applyFont="1" applyAlignment="1">
      <alignment horizontal="right"/>
    </xf>
    <xf numFmtId="0" fontId="98" fillId="0" borderId="0" xfId="0" applyFont="1" applyAlignment="1">
      <alignment horizontal="left"/>
    </xf>
    <xf numFmtId="0" fontId="25" fillId="0" borderId="0" xfId="0" applyFont="1" applyAlignment="1">
      <alignment horizontal="left" vertical="top" wrapText="1"/>
    </xf>
    <xf numFmtId="0" fontId="1" fillId="0" borderId="0" xfId="0" applyFont="1" applyAlignment="1">
      <alignment horizontal="left" vertical="center" wrapText="1"/>
    </xf>
    <xf numFmtId="0" fontId="54" fillId="0" borderId="0" xfId="0" applyFont="1" applyAlignment="1">
      <alignment horizontal="left" vertical="center" wrapText="1"/>
    </xf>
    <xf numFmtId="0" fontId="25"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54" fillId="0" borderId="0" xfId="0" applyFont="1" applyAlignment="1">
      <alignment horizontal="left"/>
    </xf>
    <xf numFmtId="0" fontId="0" fillId="0" borderId="8" xfId="0" applyBorder="1" applyAlignment="1">
      <alignment horizontal="center"/>
    </xf>
    <xf numFmtId="0" fontId="25" fillId="0" borderId="9" xfId="0" applyFont="1" applyBorder="1" applyAlignment="1">
      <alignment horizontal="left" vertical="center" wrapText="1"/>
    </xf>
    <xf numFmtId="0" fontId="54" fillId="0" borderId="9" xfId="0" applyFont="1" applyBorder="1" applyAlignment="1">
      <alignment horizontal="left" vertical="center" wrapText="1"/>
    </xf>
    <xf numFmtId="0" fontId="72" fillId="0" borderId="8" xfId="0" applyFont="1" applyBorder="1" applyAlignment="1">
      <alignment horizontal="left"/>
    </xf>
    <xf numFmtId="0" fontId="25" fillId="11" borderId="0" xfId="0" applyFont="1" applyFill="1" applyAlignment="1">
      <alignment horizontal="left" vertical="top" wrapText="1"/>
    </xf>
    <xf numFmtId="0" fontId="65" fillId="0" borderId="0" xfId="0" applyFont="1" applyAlignment="1">
      <alignment horizontal="center" wrapText="1"/>
    </xf>
    <xf numFmtId="0" fontId="1" fillId="0" borderId="0" xfId="0" applyFont="1" applyAlignment="1">
      <alignment horizontal="center" wrapText="1"/>
    </xf>
    <xf numFmtId="0" fontId="62" fillId="0" borderId="0" xfId="0" applyFont="1" applyAlignment="1">
      <alignment horizontal="left" vertical="center"/>
    </xf>
    <xf numFmtId="0" fontId="60" fillId="0" borderId="0" xfId="0" applyFont="1" applyAlignment="1">
      <alignment horizontal="left" vertical="top" wrapText="1"/>
    </xf>
    <xf numFmtId="0" fontId="44" fillId="0" borderId="0" xfId="0" applyFont="1" applyAlignment="1">
      <alignment horizontal="left" vertical="top" wrapText="1"/>
    </xf>
    <xf numFmtId="0" fontId="8" fillId="0" borderId="0" xfId="0" applyFont="1" applyAlignment="1">
      <alignment horizontal="center"/>
    </xf>
    <xf numFmtId="0" fontId="178" fillId="0" borderId="0" xfId="0" applyFont="1" applyAlignment="1">
      <alignment horizontal="left"/>
    </xf>
  </cellXfs>
  <cellStyles count="5">
    <cellStyle name="Comma" xfId="1" builtinId="3"/>
    <cellStyle name="Currency" xfId="2" builtinId="4"/>
    <cellStyle name="Hyperlink" xfId="3" builtinId="8"/>
    <cellStyle name="Normal" xfId="0" builtinId="0"/>
    <cellStyle name="Percent" xfId="4" builtinId="5"/>
  </cellStyles>
  <dxfs count="362">
    <dxf>
      <font>
        <b/>
        <i val="0"/>
        <color rgb="FF009900"/>
      </font>
    </dxf>
    <dxf>
      <font>
        <color rgb="FFFF0000"/>
      </font>
    </dxf>
    <dxf>
      <font>
        <color rgb="FFFF0000"/>
      </font>
    </dxf>
    <dxf>
      <font>
        <b/>
        <i val="0"/>
        <color indexed="9"/>
      </font>
      <fill>
        <patternFill>
          <bgColor indexed="10"/>
        </patternFill>
      </fill>
    </dxf>
    <dxf>
      <font>
        <b/>
        <i val="0"/>
        <color rgb="FF00B050"/>
      </font>
    </dxf>
    <dxf>
      <font>
        <condense val="0"/>
        <extend val="0"/>
        <color indexed="53"/>
      </font>
    </dxf>
    <dxf>
      <font>
        <condense val="0"/>
        <extend val="0"/>
        <color indexed="17"/>
      </font>
    </dxf>
    <dxf>
      <font>
        <b/>
        <i val="0"/>
        <condense val="0"/>
        <extend val="0"/>
        <color indexed="53"/>
      </font>
    </dxf>
    <dxf>
      <font>
        <b/>
        <i val="0"/>
        <condense val="0"/>
        <extend val="0"/>
        <color indexed="17"/>
      </font>
    </dxf>
    <dxf>
      <fill>
        <patternFill>
          <bgColor theme="9" tint="0.59996337778862885"/>
        </patternFill>
      </fill>
    </dxf>
    <dxf>
      <font>
        <b/>
        <i val="0"/>
        <color indexed="9"/>
      </font>
      <fill>
        <patternFill>
          <bgColor indexed="10"/>
        </patternFill>
      </fill>
    </dxf>
    <dxf>
      <fill>
        <patternFill>
          <bgColor indexed="11"/>
        </patternFill>
      </fill>
    </dxf>
    <dxf>
      <fill>
        <patternFill>
          <bgColor indexed="51"/>
        </patternFill>
      </fill>
    </dxf>
    <dxf>
      <font>
        <condense val="0"/>
        <extend val="0"/>
        <color indexed="9"/>
      </font>
      <fill>
        <patternFill>
          <bgColor indexed="10"/>
        </patternFill>
      </fill>
    </dxf>
    <dxf>
      <font>
        <color rgb="FFFF0000"/>
      </font>
    </dxf>
    <dxf>
      <font>
        <color rgb="FFFF0000"/>
      </font>
    </dxf>
    <dxf>
      <font>
        <b/>
        <i val="0"/>
        <condense val="0"/>
        <extend val="0"/>
        <color indexed="10"/>
      </font>
    </dxf>
    <dxf>
      <font>
        <b/>
        <i val="0"/>
        <condense val="0"/>
        <extend val="0"/>
        <color indexed="57"/>
      </font>
    </dxf>
    <dxf>
      <font>
        <b/>
        <i val="0"/>
        <condense val="0"/>
        <extend val="0"/>
        <color indexed="53"/>
      </font>
    </dxf>
    <dxf>
      <font>
        <b/>
        <i val="0"/>
        <color indexed="9"/>
      </font>
      <fill>
        <patternFill>
          <bgColor indexed="10"/>
        </patternFill>
      </fill>
    </dxf>
    <dxf>
      <font>
        <b/>
        <i val="0"/>
        <color rgb="FF00B050"/>
      </font>
    </dxf>
    <dxf>
      <font>
        <b/>
        <i val="0"/>
        <color indexed="9"/>
      </font>
      <fill>
        <patternFill>
          <bgColor indexed="10"/>
        </patternFill>
      </fill>
    </dxf>
    <dxf>
      <font>
        <condense val="0"/>
        <extend val="0"/>
        <color indexed="53"/>
      </font>
    </dxf>
    <dxf>
      <fill>
        <patternFill>
          <bgColor indexed="51"/>
        </patternFill>
      </fill>
    </dxf>
    <dxf>
      <font>
        <b/>
        <i val="0"/>
        <condense val="0"/>
        <extend val="0"/>
        <color auto="1"/>
      </font>
      <fill>
        <patternFill>
          <bgColor indexed="11"/>
        </patternFill>
      </fill>
    </dxf>
    <dxf>
      <font>
        <b/>
        <i val="0"/>
        <condense val="0"/>
        <extend val="0"/>
        <color indexed="21"/>
      </font>
    </dxf>
    <dxf>
      <font>
        <b/>
        <i val="0"/>
        <condense val="0"/>
        <extend val="0"/>
        <color indexed="17"/>
      </font>
    </dxf>
    <dxf>
      <font>
        <b/>
        <i val="0"/>
        <condense val="0"/>
        <extend val="0"/>
        <color auto="1"/>
      </font>
      <fill>
        <patternFill>
          <bgColor indexed="11"/>
        </patternFill>
      </fill>
    </dxf>
    <dxf>
      <font>
        <b/>
        <i val="0"/>
        <color indexed="9"/>
        <name val="Cambria"/>
        <scheme val="none"/>
      </font>
      <fill>
        <patternFill patternType="solid">
          <bgColor indexed="10"/>
        </patternFill>
      </fill>
    </dxf>
    <dxf>
      <font>
        <condense val="0"/>
        <extend val="0"/>
        <color auto="1"/>
      </font>
      <fill>
        <patternFill patternType="solid">
          <bgColor indexed="51"/>
        </patternFill>
      </fill>
    </dxf>
    <dxf>
      <fill>
        <patternFill>
          <bgColor indexed="11"/>
        </patternFill>
      </fill>
    </dxf>
    <dxf>
      <fill>
        <patternFill>
          <bgColor rgb="FFFFC000"/>
        </patternFill>
      </fill>
    </dxf>
    <dxf>
      <fill>
        <patternFill>
          <bgColor indexed="51"/>
        </patternFill>
      </fill>
    </dxf>
    <dxf>
      <fill>
        <patternFill>
          <bgColor indexed="11"/>
        </patternFill>
      </fill>
    </dxf>
    <dxf>
      <fill>
        <patternFill>
          <bgColor indexed="11"/>
        </patternFill>
      </fill>
    </dxf>
    <dxf>
      <fill>
        <patternFill>
          <bgColor indexed="51"/>
        </patternFill>
      </fill>
    </dxf>
    <dxf>
      <font>
        <b/>
        <i val="0"/>
        <condense val="0"/>
        <extend val="0"/>
        <color indexed="17"/>
      </font>
    </dxf>
    <dxf>
      <font>
        <b/>
        <i val="0"/>
        <condense val="0"/>
        <extend val="0"/>
        <color indexed="53"/>
      </font>
    </dxf>
    <dxf>
      <font>
        <b/>
        <i val="0"/>
        <condense val="0"/>
        <extend val="0"/>
        <color indexed="53"/>
      </font>
    </dxf>
    <dxf>
      <font>
        <b/>
        <i val="0"/>
        <condense val="0"/>
        <extend val="0"/>
        <color indexed="57"/>
      </font>
    </dxf>
    <dxf>
      <font>
        <b/>
        <i val="0"/>
        <condense val="0"/>
        <extend val="0"/>
        <color indexed="17"/>
      </font>
    </dxf>
    <dxf>
      <font>
        <b val="0"/>
        <i val="0"/>
        <condense val="0"/>
        <extend val="0"/>
        <color indexed="53"/>
      </font>
    </dxf>
    <dxf>
      <font>
        <b/>
        <i val="0"/>
        <condense val="0"/>
        <extend val="0"/>
        <color indexed="10"/>
      </font>
    </dxf>
    <dxf>
      <font>
        <condense val="0"/>
        <extend val="0"/>
        <color indexed="17"/>
      </font>
    </dxf>
    <dxf>
      <font>
        <condense val="0"/>
        <extend val="0"/>
        <color indexed="53"/>
      </font>
    </dxf>
    <dxf>
      <font>
        <condense val="0"/>
        <extend val="0"/>
        <color indexed="17"/>
      </font>
    </dxf>
    <dxf>
      <font>
        <b/>
        <i val="0"/>
        <color theme="9"/>
        <name val="Cambria"/>
        <scheme val="none"/>
      </font>
    </dxf>
    <dxf>
      <font>
        <b/>
        <i val="0"/>
        <condense val="0"/>
        <extend val="0"/>
        <color indexed="17"/>
      </font>
    </dxf>
    <dxf>
      <font>
        <b/>
        <i val="0"/>
        <condense val="0"/>
        <extend val="0"/>
        <color indexed="10"/>
      </font>
    </dxf>
    <dxf>
      <font>
        <b/>
        <i val="0"/>
        <condense val="0"/>
        <extend val="0"/>
        <color indexed="17"/>
      </font>
    </dxf>
    <dxf>
      <font>
        <condense val="0"/>
        <extend val="0"/>
        <color indexed="53"/>
      </font>
    </dxf>
    <dxf>
      <font>
        <condense val="0"/>
        <extend val="0"/>
        <color indexed="17"/>
      </font>
    </dxf>
    <dxf>
      <font>
        <color indexed="17"/>
      </font>
    </dxf>
    <dxf>
      <font>
        <condense val="0"/>
        <extend val="0"/>
        <color indexed="53"/>
      </font>
    </dxf>
    <dxf>
      <font>
        <b/>
        <i val="0"/>
        <condense val="0"/>
        <extend val="0"/>
        <color indexed="17"/>
      </font>
    </dxf>
    <dxf>
      <font>
        <b/>
        <i val="0"/>
        <condense val="0"/>
        <extend val="0"/>
        <color auto="1"/>
      </font>
      <fill>
        <patternFill>
          <bgColor indexed="11"/>
        </patternFill>
      </fill>
    </dxf>
    <dxf>
      <font>
        <b/>
        <i val="0"/>
        <condense val="0"/>
        <extend val="0"/>
        <color auto="1"/>
      </font>
      <fill>
        <patternFill>
          <bgColor indexed="51"/>
        </patternFill>
      </fill>
    </dxf>
    <dxf>
      <font>
        <b/>
        <i val="0"/>
        <condense val="0"/>
        <extend val="0"/>
        <color auto="1"/>
      </font>
      <fill>
        <patternFill patternType="none">
          <bgColor indexed="65"/>
        </patternFill>
      </fill>
    </dxf>
    <dxf>
      <font>
        <b/>
        <i val="0"/>
        <condense val="0"/>
        <extend val="0"/>
        <color indexed="53"/>
      </font>
    </dxf>
    <dxf>
      <font>
        <b/>
        <i val="0"/>
        <condense val="0"/>
        <extend val="0"/>
        <color indexed="17"/>
      </font>
    </dxf>
    <dxf>
      <font>
        <b/>
        <i val="0"/>
        <condense val="0"/>
        <extend val="0"/>
        <color indexed="53"/>
      </font>
    </dxf>
    <dxf>
      <font>
        <b/>
        <i val="0"/>
        <condense val="0"/>
        <extend val="0"/>
        <color indexed="17"/>
      </font>
    </dxf>
    <dxf>
      <font>
        <b/>
        <i val="0"/>
        <condense val="0"/>
        <extend val="0"/>
        <color indexed="53"/>
      </font>
    </dxf>
    <dxf>
      <font>
        <b/>
        <i val="0"/>
        <condense val="0"/>
        <extend val="0"/>
        <color indexed="17"/>
      </font>
      <fill>
        <patternFill patternType="none">
          <bgColor indexed="65"/>
        </patternFill>
      </fill>
    </dxf>
    <dxf>
      <font>
        <b/>
        <i val="0"/>
        <condense val="0"/>
        <extend val="0"/>
        <color indexed="17"/>
      </font>
    </dxf>
    <dxf>
      <font>
        <b/>
        <i val="0"/>
        <color indexed="53"/>
      </font>
    </dxf>
    <dxf>
      <font>
        <condense val="0"/>
        <extend val="0"/>
        <color indexed="17"/>
      </font>
    </dxf>
    <dxf>
      <font>
        <b/>
        <i val="0"/>
        <condense val="0"/>
        <extend val="0"/>
        <color indexed="17"/>
      </font>
    </dxf>
    <dxf>
      <font>
        <b/>
        <i val="0"/>
        <condense val="0"/>
        <extend val="0"/>
        <color indexed="53"/>
      </font>
    </dxf>
    <dxf>
      <font>
        <b/>
        <i val="0"/>
        <condense val="0"/>
        <extend val="0"/>
        <color indexed="17"/>
      </font>
    </dxf>
    <dxf>
      <font>
        <b/>
        <i val="0"/>
        <condense val="0"/>
        <extend val="0"/>
        <color indexed="53"/>
      </font>
    </dxf>
    <dxf>
      <font>
        <b/>
        <i val="0"/>
        <condense val="0"/>
        <extend val="0"/>
        <color indexed="53"/>
      </font>
    </dxf>
    <dxf>
      <font>
        <b/>
        <i val="0"/>
        <condense val="0"/>
        <extend val="0"/>
        <color indexed="17"/>
      </font>
      <fill>
        <patternFill patternType="none">
          <bgColor indexed="65"/>
        </patternFill>
      </fill>
    </dxf>
    <dxf>
      <font>
        <b/>
        <i val="0"/>
        <condense val="0"/>
        <extend val="0"/>
        <color indexed="53"/>
      </font>
      <fill>
        <patternFill patternType="none">
          <bgColor indexed="65"/>
        </patternFill>
      </fill>
    </dxf>
    <dxf>
      <font>
        <condense val="0"/>
        <extend val="0"/>
        <color indexed="53"/>
      </font>
    </dxf>
    <dxf>
      <font>
        <b/>
        <i val="0"/>
        <condense val="0"/>
        <extend val="0"/>
        <color indexed="17"/>
      </font>
    </dxf>
    <dxf>
      <font>
        <condense val="0"/>
        <extend val="0"/>
        <color indexed="17"/>
      </font>
    </dxf>
    <dxf>
      <font>
        <condense val="0"/>
        <extend val="0"/>
        <color indexed="17"/>
      </font>
    </dxf>
    <dxf>
      <font>
        <condense val="0"/>
        <extend val="0"/>
        <color indexed="53"/>
      </font>
    </dxf>
    <dxf>
      <font>
        <b/>
        <i val="0"/>
        <condense val="0"/>
        <extend val="0"/>
        <color indexed="10"/>
      </font>
      <fill>
        <patternFill patternType="none">
          <bgColor indexed="65"/>
        </patternFill>
      </fill>
    </dxf>
    <dxf>
      <font>
        <b/>
        <i val="0"/>
        <condense val="0"/>
        <extend val="0"/>
        <color indexed="53"/>
      </font>
    </dxf>
    <dxf>
      <font>
        <b/>
        <i val="0"/>
        <condense val="0"/>
        <extend val="0"/>
        <color indexed="17"/>
      </font>
    </dxf>
    <dxf>
      <font>
        <condense val="0"/>
        <extend val="0"/>
        <color indexed="17"/>
      </font>
    </dxf>
    <dxf>
      <font>
        <condense val="0"/>
        <extend val="0"/>
        <color indexed="53"/>
      </font>
    </dxf>
    <dxf>
      <font>
        <b/>
        <i val="0"/>
        <condense val="0"/>
        <extend val="0"/>
        <color indexed="53"/>
      </font>
    </dxf>
    <dxf>
      <font>
        <b/>
        <i val="0"/>
        <condense val="0"/>
        <extend val="0"/>
        <color indexed="17"/>
      </font>
    </dxf>
    <dxf>
      <font>
        <condense val="0"/>
        <extend val="0"/>
        <color indexed="17"/>
      </font>
    </dxf>
    <dxf>
      <font>
        <condense val="0"/>
        <extend val="0"/>
        <color indexed="53"/>
      </font>
      <fill>
        <patternFill patternType="none">
          <bgColor indexed="65"/>
        </patternFill>
      </fill>
    </dxf>
    <dxf>
      <fill>
        <patternFill>
          <bgColor indexed="11"/>
        </patternFill>
      </fill>
    </dxf>
    <dxf>
      <fill>
        <patternFill>
          <bgColor indexed="51"/>
        </patternFill>
      </fill>
    </dxf>
    <dxf>
      <font>
        <condense val="0"/>
        <extend val="0"/>
        <color indexed="9"/>
      </font>
      <fill>
        <patternFill>
          <bgColor indexed="10"/>
        </patternFill>
      </fill>
    </dxf>
    <dxf>
      <fill>
        <patternFill>
          <bgColor indexed="11"/>
        </patternFill>
      </fill>
    </dxf>
    <dxf>
      <fill>
        <patternFill>
          <bgColor indexed="50"/>
        </patternFill>
      </fill>
    </dxf>
    <dxf>
      <fill>
        <patternFill>
          <bgColor indexed="51"/>
        </patternFill>
      </fill>
    </dxf>
    <dxf>
      <fill>
        <patternFill>
          <bgColor indexed="51"/>
        </patternFill>
      </fill>
    </dxf>
    <dxf>
      <fill>
        <patternFill>
          <bgColor indexed="50"/>
        </patternFill>
      </fill>
    </dxf>
    <dxf>
      <fill>
        <patternFill>
          <bgColor indexed="11"/>
        </patternFill>
      </fill>
    </dxf>
    <dxf>
      <fill>
        <patternFill>
          <bgColor indexed="51"/>
        </patternFill>
      </fill>
    </dxf>
    <dxf>
      <fill>
        <patternFill>
          <bgColor indexed="11"/>
        </patternFill>
      </fill>
    </dxf>
    <dxf>
      <fill>
        <patternFill>
          <bgColor indexed="11"/>
        </patternFill>
      </fill>
    </dxf>
    <dxf>
      <fill>
        <patternFill>
          <bgColor indexed="51"/>
        </patternFill>
      </fill>
    </dxf>
    <dxf>
      <font>
        <b/>
        <i val="0"/>
        <condense val="0"/>
        <extend val="0"/>
        <color indexed="17"/>
      </font>
    </dxf>
    <dxf>
      <font>
        <b/>
        <i val="0"/>
        <condense val="0"/>
        <extend val="0"/>
        <color indexed="53"/>
      </font>
    </dxf>
    <dxf>
      <fill>
        <patternFill>
          <bgColor indexed="51"/>
        </patternFill>
      </fill>
    </dxf>
    <dxf>
      <font>
        <b/>
        <i val="0"/>
        <condense val="0"/>
        <extend val="0"/>
        <color indexed="9"/>
      </font>
      <fill>
        <patternFill>
          <bgColor indexed="10"/>
        </patternFill>
      </fill>
    </dxf>
    <dxf>
      <fill>
        <patternFill>
          <bgColor indexed="11"/>
        </patternFill>
      </fill>
    </dxf>
    <dxf>
      <font>
        <b/>
        <i val="0"/>
        <condense val="0"/>
        <extend val="0"/>
        <color indexed="53"/>
      </font>
    </dxf>
    <dxf>
      <font>
        <b/>
        <i val="0"/>
        <condense val="0"/>
        <extend val="0"/>
        <color indexed="17"/>
      </font>
    </dxf>
    <dxf>
      <font>
        <b/>
        <i val="0"/>
        <condense val="0"/>
        <extend val="0"/>
        <color indexed="53"/>
      </font>
    </dxf>
    <dxf>
      <font>
        <b/>
        <i val="0"/>
        <condense val="0"/>
        <extend val="0"/>
        <color indexed="9"/>
      </font>
      <fill>
        <patternFill>
          <bgColor indexed="10"/>
        </patternFill>
      </fill>
    </dxf>
    <dxf>
      <font>
        <b/>
        <i val="0"/>
        <condense val="0"/>
        <extend val="0"/>
      </font>
      <fill>
        <patternFill>
          <bgColor indexed="51"/>
        </patternFill>
      </fill>
    </dxf>
    <dxf>
      <font>
        <b/>
        <i val="0"/>
        <condense val="0"/>
        <extend val="0"/>
      </font>
      <fill>
        <patternFill>
          <bgColor indexed="11"/>
        </patternFill>
      </fill>
    </dxf>
    <dxf>
      <font>
        <b/>
        <i val="0"/>
        <condense val="0"/>
        <extend val="0"/>
        <color indexed="53"/>
      </font>
    </dxf>
    <dxf>
      <font>
        <b/>
        <i val="0"/>
        <condense val="0"/>
        <extend val="0"/>
        <color indexed="17"/>
      </font>
    </dxf>
    <dxf>
      <font>
        <b/>
        <i val="0"/>
        <condense val="0"/>
        <extend val="0"/>
        <color auto="1"/>
      </font>
      <fill>
        <patternFill>
          <bgColor indexed="11"/>
        </patternFill>
      </fill>
    </dxf>
    <dxf>
      <font>
        <b/>
        <i val="0"/>
        <condense val="0"/>
        <extend val="0"/>
        <color indexed="9"/>
      </font>
      <fill>
        <patternFill>
          <bgColor indexed="10"/>
        </patternFill>
      </fill>
    </dxf>
    <dxf>
      <font>
        <condense val="0"/>
        <extend val="0"/>
        <color indexed="53"/>
      </font>
    </dxf>
    <dxf>
      <font>
        <condense val="0"/>
        <extend val="0"/>
        <color indexed="17"/>
      </font>
    </dxf>
    <dxf>
      <font>
        <b/>
        <i val="0"/>
        <condense val="0"/>
        <extend val="0"/>
        <color indexed="9"/>
      </font>
      <fill>
        <patternFill>
          <bgColor indexed="10"/>
        </patternFill>
      </fill>
    </dxf>
    <dxf>
      <fill>
        <patternFill>
          <bgColor indexed="11"/>
        </patternFill>
      </fill>
    </dxf>
    <dxf>
      <font>
        <b/>
        <i val="0"/>
        <condense val="0"/>
        <extend val="0"/>
        <color auto="1"/>
      </font>
      <fill>
        <patternFill>
          <bgColor indexed="50"/>
        </patternFill>
      </fill>
    </dxf>
    <dxf>
      <fill>
        <patternFill>
          <bgColor indexed="51"/>
        </patternFill>
      </fill>
    </dxf>
    <dxf>
      <fill>
        <patternFill>
          <bgColor indexed="11"/>
        </patternFill>
      </fill>
    </dxf>
    <dxf>
      <font>
        <condense val="0"/>
        <extend val="0"/>
        <color indexed="17"/>
      </font>
    </dxf>
    <dxf>
      <font>
        <condense val="0"/>
        <extend val="0"/>
        <color indexed="53"/>
      </font>
    </dxf>
    <dxf>
      <font>
        <b/>
        <i val="0"/>
        <condense val="0"/>
        <extend val="0"/>
        <color indexed="9"/>
      </font>
      <fill>
        <patternFill>
          <bgColor indexed="10"/>
        </patternFill>
      </fill>
    </dxf>
    <dxf>
      <fill>
        <patternFill>
          <bgColor indexed="51"/>
        </patternFill>
      </fill>
    </dxf>
    <dxf>
      <fill>
        <patternFill>
          <bgColor indexed="11"/>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53"/>
      </font>
      <fill>
        <patternFill patternType="none">
          <bgColor indexed="65"/>
        </patternFill>
      </fill>
    </dxf>
    <dxf>
      <font>
        <b/>
        <i val="0"/>
        <condense val="0"/>
        <extend val="0"/>
        <color auto="1"/>
      </font>
      <fill>
        <patternFill>
          <bgColor indexed="51"/>
        </patternFill>
      </fill>
    </dxf>
    <dxf>
      <font>
        <b/>
        <i val="0"/>
        <condense val="0"/>
        <extend val="0"/>
        <color auto="1"/>
      </font>
      <fill>
        <patternFill>
          <bgColor indexed="11"/>
        </patternFill>
      </fill>
    </dxf>
    <dxf>
      <font>
        <b/>
        <i val="0"/>
        <condense val="0"/>
        <extend val="0"/>
        <color indexed="53"/>
      </font>
    </dxf>
    <dxf>
      <font>
        <b/>
        <i val="0"/>
        <condense val="0"/>
        <extend val="0"/>
        <color indexed="17"/>
      </font>
    </dxf>
    <dxf>
      <font>
        <b/>
        <i val="0"/>
        <color theme="9"/>
      </font>
      <fill>
        <patternFill patternType="none">
          <bgColor indexed="65"/>
        </patternFill>
      </fill>
    </dxf>
    <dxf>
      <font>
        <b/>
        <i val="0"/>
        <color rgb="FF009900"/>
      </font>
    </dxf>
    <dxf>
      <font>
        <condense val="0"/>
        <extend val="0"/>
        <color indexed="9"/>
      </font>
      <fill>
        <patternFill>
          <bgColor indexed="10"/>
        </patternFill>
      </fill>
    </dxf>
    <dxf>
      <fill>
        <patternFill>
          <bgColor indexed="51"/>
        </patternFill>
      </fill>
    </dxf>
    <dxf>
      <fill>
        <patternFill>
          <bgColor indexed="11"/>
        </patternFill>
      </fill>
    </dxf>
    <dxf>
      <font>
        <b/>
        <i val="0"/>
        <condense val="0"/>
        <extend val="0"/>
        <color indexed="17"/>
      </font>
    </dxf>
    <dxf>
      <font>
        <b val="0"/>
        <i val="0"/>
        <condense val="0"/>
        <extend val="0"/>
        <color indexed="53"/>
      </font>
    </dxf>
    <dxf>
      <font>
        <b/>
        <i val="0"/>
        <condense val="0"/>
        <extend val="0"/>
        <color indexed="17"/>
      </font>
    </dxf>
    <dxf>
      <font>
        <b/>
        <i val="0"/>
        <condense val="0"/>
        <extend val="0"/>
        <color indexed="53"/>
      </font>
    </dxf>
    <dxf>
      <font>
        <b/>
        <i val="0"/>
        <condense val="0"/>
        <extend val="0"/>
        <color indexed="17"/>
      </font>
    </dxf>
    <dxf>
      <font>
        <b/>
        <i val="0"/>
        <condense val="0"/>
        <extend val="0"/>
        <color indexed="53"/>
      </font>
    </dxf>
    <dxf>
      <font>
        <condense val="0"/>
        <extend val="0"/>
        <color indexed="17"/>
      </font>
    </dxf>
    <dxf>
      <font>
        <b/>
        <i val="0"/>
        <condense val="0"/>
        <extend val="0"/>
        <color indexed="53"/>
      </font>
    </dxf>
    <dxf>
      <font>
        <condense val="0"/>
        <extend val="0"/>
        <color auto="1"/>
      </font>
      <fill>
        <patternFill>
          <bgColor indexed="51"/>
        </patternFill>
      </fill>
    </dxf>
    <dxf>
      <fill>
        <patternFill>
          <bgColor indexed="11"/>
        </patternFill>
      </fill>
    </dxf>
    <dxf>
      <fill>
        <patternFill>
          <bgColor indexed="51"/>
        </patternFill>
      </fill>
    </dxf>
    <dxf>
      <fill>
        <patternFill>
          <bgColor indexed="11"/>
        </patternFill>
      </fill>
    </dxf>
    <dxf>
      <font>
        <b/>
        <i val="0"/>
        <condense val="0"/>
        <extend val="0"/>
        <color indexed="60"/>
      </font>
      <fill>
        <patternFill>
          <bgColor indexed="13"/>
        </patternFill>
      </fill>
    </dxf>
    <dxf>
      <font>
        <b/>
        <i val="0"/>
        <condense val="0"/>
        <extend val="0"/>
        <color indexed="10"/>
      </font>
    </dxf>
    <dxf>
      <font>
        <b/>
        <i val="0"/>
        <condense val="0"/>
        <extend val="0"/>
        <color indexed="17"/>
      </font>
    </dxf>
    <dxf>
      <font>
        <condense val="0"/>
        <extend val="0"/>
        <color indexed="9"/>
      </font>
      <fill>
        <patternFill>
          <bgColor indexed="10"/>
        </patternFill>
      </fill>
    </dxf>
    <dxf>
      <fill>
        <patternFill>
          <bgColor indexed="51"/>
        </patternFill>
      </fill>
    </dxf>
    <dxf>
      <fill>
        <patternFill>
          <bgColor indexed="11"/>
        </patternFill>
      </fill>
    </dxf>
    <dxf>
      <fill>
        <patternFill>
          <bgColor indexed="11"/>
        </patternFill>
      </fill>
    </dxf>
    <dxf>
      <fill>
        <patternFill>
          <bgColor indexed="50"/>
        </patternFill>
      </fill>
    </dxf>
    <dxf>
      <font>
        <b/>
        <i val="0"/>
        <condense val="0"/>
        <extend val="0"/>
        <color indexed="9"/>
      </font>
      <fill>
        <patternFill>
          <bgColor indexed="10"/>
        </patternFill>
      </fill>
    </dxf>
    <dxf>
      <fill>
        <patternFill>
          <bgColor indexed="11"/>
        </patternFill>
      </fill>
    </dxf>
    <dxf>
      <fill>
        <patternFill>
          <bgColor indexed="50"/>
        </patternFill>
      </fill>
    </dxf>
    <dxf>
      <fill>
        <patternFill>
          <bgColor indexed="51"/>
        </patternFill>
      </fill>
    </dxf>
    <dxf>
      <font>
        <b/>
        <i val="0"/>
        <condense val="0"/>
        <extend val="0"/>
        <color indexed="17"/>
      </font>
    </dxf>
    <dxf>
      <font>
        <b/>
        <i val="0"/>
        <condense val="0"/>
        <extend val="0"/>
        <color indexed="53"/>
      </font>
    </dxf>
    <dxf>
      <font>
        <condense val="0"/>
        <extend val="0"/>
        <color indexed="53"/>
      </font>
    </dxf>
    <dxf>
      <font>
        <condense val="0"/>
        <extend val="0"/>
        <color indexed="17"/>
      </font>
    </dxf>
    <dxf>
      <font>
        <b val="0"/>
        <i val="0"/>
        <color indexed="53"/>
      </font>
    </dxf>
    <dxf>
      <font>
        <b val="0"/>
        <i val="0"/>
        <color indexed="10"/>
      </font>
    </dxf>
    <dxf>
      <font>
        <b/>
        <i val="0"/>
        <condense val="0"/>
        <extend val="0"/>
        <color indexed="17"/>
      </font>
    </dxf>
    <dxf>
      <font>
        <b/>
        <i val="0"/>
        <condense val="0"/>
        <extend val="0"/>
        <color indexed="57"/>
      </font>
    </dxf>
    <dxf>
      <font>
        <b/>
        <i val="0"/>
        <condense val="0"/>
        <extend val="0"/>
        <color indexed="53"/>
      </font>
    </dxf>
    <dxf>
      <font>
        <b/>
        <i val="0"/>
        <condense val="0"/>
        <extend val="0"/>
      </font>
      <fill>
        <patternFill>
          <bgColor indexed="11"/>
        </patternFill>
      </fill>
    </dxf>
    <dxf>
      <font>
        <b/>
        <i val="0"/>
        <condense val="0"/>
        <extend val="0"/>
        <color indexed="10"/>
      </font>
      <fill>
        <patternFill>
          <bgColor indexed="13"/>
        </patternFill>
      </fill>
    </dxf>
    <dxf>
      <font>
        <b/>
        <i val="0"/>
        <condense val="0"/>
        <extend val="0"/>
        <color auto="1"/>
      </font>
      <fill>
        <patternFill>
          <bgColor indexed="51"/>
        </patternFill>
      </fill>
      <border>
        <left/>
        <right/>
        <top/>
        <bottom/>
      </border>
    </dxf>
    <dxf>
      <font>
        <b/>
        <i val="0"/>
        <condense val="0"/>
        <extend val="0"/>
        <color indexed="53"/>
      </font>
    </dxf>
    <dxf>
      <font>
        <b/>
        <i val="0"/>
        <condense val="0"/>
        <extend val="0"/>
        <color indexed="17"/>
      </font>
    </dxf>
    <dxf>
      <font>
        <color rgb="FFFF0000"/>
      </font>
    </dxf>
    <dxf>
      <font>
        <color rgb="FFFF0000"/>
      </font>
    </dxf>
    <dxf>
      <font>
        <b/>
        <i val="0"/>
        <color indexed="9"/>
      </font>
      <fill>
        <patternFill>
          <bgColor indexed="10"/>
        </patternFill>
      </fill>
    </dxf>
    <dxf>
      <font>
        <b/>
        <i val="0"/>
        <color rgb="FF00B050"/>
      </font>
    </dxf>
    <dxf>
      <font>
        <condense val="0"/>
        <extend val="0"/>
        <color indexed="53"/>
      </font>
    </dxf>
    <dxf>
      <font>
        <condense val="0"/>
        <extend val="0"/>
        <color indexed="17"/>
      </font>
    </dxf>
    <dxf>
      <font>
        <b/>
        <i val="0"/>
        <condense val="0"/>
        <extend val="0"/>
        <color indexed="53"/>
      </font>
    </dxf>
    <dxf>
      <font>
        <b/>
        <i val="0"/>
        <condense val="0"/>
        <extend val="0"/>
        <color indexed="17"/>
      </font>
    </dxf>
    <dxf>
      <fill>
        <patternFill>
          <bgColor theme="9" tint="0.59996337778862885"/>
        </patternFill>
      </fill>
    </dxf>
    <dxf>
      <font>
        <b/>
        <i val="0"/>
        <color indexed="9"/>
      </font>
      <fill>
        <patternFill>
          <bgColor indexed="10"/>
        </patternFill>
      </fill>
    </dxf>
    <dxf>
      <fill>
        <patternFill>
          <bgColor indexed="11"/>
        </patternFill>
      </fill>
    </dxf>
    <dxf>
      <fill>
        <patternFill>
          <bgColor indexed="51"/>
        </patternFill>
      </fill>
    </dxf>
    <dxf>
      <font>
        <condense val="0"/>
        <extend val="0"/>
        <color indexed="9"/>
      </font>
      <fill>
        <patternFill>
          <bgColor indexed="10"/>
        </patternFill>
      </fill>
    </dxf>
    <dxf>
      <font>
        <color rgb="FFFF0000"/>
      </font>
    </dxf>
    <dxf>
      <font>
        <color rgb="FFFF0000"/>
      </font>
    </dxf>
    <dxf>
      <font>
        <b/>
        <i val="0"/>
        <condense val="0"/>
        <extend val="0"/>
        <color indexed="10"/>
      </font>
    </dxf>
    <dxf>
      <font>
        <b/>
        <i val="0"/>
        <condense val="0"/>
        <extend val="0"/>
        <color indexed="57"/>
      </font>
    </dxf>
    <dxf>
      <font>
        <b/>
        <i val="0"/>
        <condense val="0"/>
        <extend val="0"/>
        <color indexed="53"/>
      </font>
    </dxf>
    <dxf>
      <font>
        <b/>
        <i val="0"/>
        <color indexed="9"/>
      </font>
      <fill>
        <patternFill>
          <bgColor indexed="10"/>
        </patternFill>
      </fill>
    </dxf>
    <dxf>
      <font>
        <b/>
        <i val="0"/>
        <color rgb="FF00B050"/>
      </font>
    </dxf>
    <dxf>
      <font>
        <b/>
        <i val="0"/>
        <color indexed="9"/>
      </font>
      <fill>
        <patternFill>
          <bgColor indexed="10"/>
        </patternFill>
      </fill>
    </dxf>
    <dxf>
      <font>
        <condense val="0"/>
        <extend val="0"/>
        <color indexed="53"/>
      </font>
    </dxf>
    <dxf>
      <fill>
        <patternFill>
          <bgColor indexed="51"/>
        </patternFill>
      </fill>
    </dxf>
    <dxf>
      <font>
        <b/>
        <i val="0"/>
        <condense val="0"/>
        <extend val="0"/>
        <color auto="1"/>
      </font>
      <fill>
        <patternFill>
          <bgColor indexed="11"/>
        </patternFill>
      </fill>
    </dxf>
    <dxf>
      <font>
        <b/>
        <i val="0"/>
        <condense val="0"/>
        <extend val="0"/>
        <color indexed="21"/>
      </font>
    </dxf>
    <dxf>
      <font>
        <b/>
        <i val="0"/>
        <condense val="0"/>
        <extend val="0"/>
        <color indexed="17"/>
      </font>
    </dxf>
    <dxf>
      <font>
        <b/>
        <i val="0"/>
        <condense val="0"/>
        <extend val="0"/>
        <color auto="1"/>
      </font>
      <fill>
        <patternFill>
          <bgColor indexed="11"/>
        </patternFill>
      </fill>
    </dxf>
    <dxf>
      <font>
        <b/>
        <i val="0"/>
        <color indexed="9"/>
        <name val="Cambria"/>
        <scheme val="none"/>
      </font>
      <fill>
        <patternFill patternType="solid">
          <bgColor indexed="10"/>
        </patternFill>
      </fill>
    </dxf>
    <dxf>
      <font>
        <condense val="0"/>
        <extend val="0"/>
        <color auto="1"/>
      </font>
      <fill>
        <patternFill patternType="solid">
          <bgColor indexed="51"/>
        </patternFill>
      </fill>
    </dxf>
    <dxf>
      <fill>
        <patternFill>
          <bgColor indexed="11"/>
        </patternFill>
      </fill>
    </dxf>
    <dxf>
      <fill>
        <patternFill>
          <bgColor rgb="FFFFC000"/>
        </patternFill>
      </fill>
    </dxf>
    <dxf>
      <fill>
        <patternFill>
          <bgColor indexed="51"/>
        </patternFill>
      </fill>
    </dxf>
    <dxf>
      <fill>
        <patternFill>
          <bgColor indexed="11"/>
        </patternFill>
      </fill>
    </dxf>
    <dxf>
      <fill>
        <patternFill>
          <bgColor indexed="11"/>
        </patternFill>
      </fill>
    </dxf>
    <dxf>
      <fill>
        <patternFill>
          <bgColor indexed="51"/>
        </patternFill>
      </fill>
    </dxf>
    <dxf>
      <font>
        <b/>
        <i val="0"/>
        <condense val="0"/>
        <extend val="0"/>
        <color indexed="17"/>
      </font>
    </dxf>
    <dxf>
      <font>
        <b/>
        <i val="0"/>
        <condense val="0"/>
        <extend val="0"/>
        <color indexed="53"/>
      </font>
    </dxf>
    <dxf>
      <font>
        <b/>
        <i val="0"/>
        <condense val="0"/>
        <extend val="0"/>
        <color indexed="53"/>
      </font>
    </dxf>
    <dxf>
      <font>
        <b/>
        <i val="0"/>
        <condense val="0"/>
        <extend val="0"/>
        <color indexed="57"/>
      </font>
    </dxf>
    <dxf>
      <font>
        <b/>
        <i val="0"/>
        <condense val="0"/>
        <extend val="0"/>
        <color indexed="17"/>
      </font>
    </dxf>
    <dxf>
      <font>
        <b val="0"/>
        <i val="0"/>
        <condense val="0"/>
        <extend val="0"/>
        <color indexed="53"/>
      </font>
    </dxf>
    <dxf>
      <font>
        <b/>
        <i val="0"/>
        <condense val="0"/>
        <extend val="0"/>
        <color indexed="10"/>
      </font>
    </dxf>
    <dxf>
      <font>
        <condense val="0"/>
        <extend val="0"/>
        <color indexed="17"/>
      </font>
    </dxf>
    <dxf>
      <font>
        <condense val="0"/>
        <extend val="0"/>
        <color indexed="53"/>
      </font>
    </dxf>
    <dxf>
      <font>
        <condense val="0"/>
        <extend val="0"/>
        <color indexed="17"/>
      </font>
    </dxf>
    <dxf>
      <font>
        <b/>
        <i val="0"/>
        <color theme="9"/>
        <name val="Cambria"/>
        <scheme val="none"/>
      </font>
    </dxf>
    <dxf>
      <font>
        <b/>
        <i val="0"/>
        <condense val="0"/>
        <extend val="0"/>
        <color indexed="17"/>
      </font>
    </dxf>
    <dxf>
      <font>
        <b/>
        <i val="0"/>
        <condense val="0"/>
        <extend val="0"/>
        <color indexed="10"/>
      </font>
    </dxf>
    <dxf>
      <font>
        <b/>
        <i val="0"/>
        <condense val="0"/>
        <extend val="0"/>
        <color indexed="17"/>
      </font>
    </dxf>
    <dxf>
      <font>
        <condense val="0"/>
        <extend val="0"/>
        <color indexed="53"/>
      </font>
    </dxf>
    <dxf>
      <font>
        <condense val="0"/>
        <extend val="0"/>
        <color indexed="17"/>
      </font>
    </dxf>
    <dxf>
      <font>
        <color indexed="17"/>
      </font>
    </dxf>
    <dxf>
      <font>
        <condense val="0"/>
        <extend val="0"/>
        <color indexed="53"/>
      </font>
    </dxf>
    <dxf>
      <font>
        <b/>
        <i val="0"/>
        <condense val="0"/>
        <extend val="0"/>
        <color indexed="17"/>
      </font>
    </dxf>
    <dxf>
      <font>
        <b/>
        <i val="0"/>
        <condense val="0"/>
        <extend val="0"/>
        <color auto="1"/>
      </font>
      <fill>
        <patternFill>
          <bgColor indexed="11"/>
        </patternFill>
      </fill>
    </dxf>
    <dxf>
      <font>
        <b/>
        <i val="0"/>
        <condense val="0"/>
        <extend val="0"/>
        <color auto="1"/>
      </font>
      <fill>
        <patternFill>
          <bgColor indexed="51"/>
        </patternFill>
      </fill>
    </dxf>
    <dxf>
      <font>
        <b/>
        <i val="0"/>
        <condense val="0"/>
        <extend val="0"/>
        <color auto="1"/>
      </font>
      <fill>
        <patternFill patternType="none">
          <bgColor indexed="65"/>
        </patternFill>
      </fill>
    </dxf>
    <dxf>
      <font>
        <b/>
        <i val="0"/>
        <condense val="0"/>
        <extend val="0"/>
        <color indexed="53"/>
      </font>
    </dxf>
    <dxf>
      <font>
        <b/>
        <i val="0"/>
        <condense val="0"/>
        <extend val="0"/>
        <color indexed="17"/>
      </font>
    </dxf>
    <dxf>
      <font>
        <b/>
        <i val="0"/>
        <condense val="0"/>
        <extend val="0"/>
        <color indexed="53"/>
      </font>
    </dxf>
    <dxf>
      <font>
        <b/>
        <i val="0"/>
        <condense val="0"/>
        <extend val="0"/>
        <color indexed="17"/>
      </font>
    </dxf>
    <dxf>
      <font>
        <b/>
        <i val="0"/>
        <condense val="0"/>
        <extend val="0"/>
        <color indexed="53"/>
      </font>
    </dxf>
    <dxf>
      <font>
        <b/>
        <i val="0"/>
        <condense val="0"/>
        <extend val="0"/>
        <color indexed="17"/>
      </font>
      <fill>
        <patternFill patternType="none">
          <bgColor indexed="65"/>
        </patternFill>
      </fill>
    </dxf>
    <dxf>
      <font>
        <b/>
        <i val="0"/>
        <condense val="0"/>
        <extend val="0"/>
        <color indexed="17"/>
      </font>
    </dxf>
    <dxf>
      <font>
        <b/>
        <i val="0"/>
        <color indexed="53"/>
      </font>
    </dxf>
    <dxf>
      <font>
        <condense val="0"/>
        <extend val="0"/>
        <color indexed="17"/>
      </font>
    </dxf>
    <dxf>
      <font>
        <b/>
        <i val="0"/>
        <condense val="0"/>
        <extend val="0"/>
        <color indexed="17"/>
      </font>
    </dxf>
    <dxf>
      <font>
        <b/>
        <i val="0"/>
        <condense val="0"/>
        <extend val="0"/>
        <color indexed="53"/>
      </font>
    </dxf>
    <dxf>
      <font>
        <b/>
        <i val="0"/>
        <condense val="0"/>
        <extend val="0"/>
        <color indexed="17"/>
      </font>
    </dxf>
    <dxf>
      <font>
        <b/>
        <i val="0"/>
        <condense val="0"/>
        <extend val="0"/>
        <color indexed="53"/>
      </font>
    </dxf>
    <dxf>
      <font>
        <b/>
        <i val="0"/>
        <condense val="0"/>
        <extend val="0"/>
        <color indexed="53"/>
      </font>
    </dxf>
    <dxf>
      <font>
        <b/>
        <i val="0"/>
        <condense val="0"/>
        <extend val="0"/>
        <color indexed="17"/>
      </font>
      <fill>
        <patternFill patternType="none">
          <bgColor indexed="65"/>
        </patternFill>
      </fill>
    </dxf>
    <dxf>
      <font>
        <b/>
        <i val="0"/>
        <condense val="0"/>
        <extend val="0"/>
        <color indexed="53"/>
      </font>
      <fill>
        <patternFill patternType="none">
          <bgColor indexed="65"/>
        </patternFill>
      </fill>
    </dxf>
    <dxf>
      <font>
        <condense val="0"/>
        <extend val="0"/>
        <color indexed="53"/>
      </font>
    </dxf>
    <dxf>
      <font>
        <b/>
        <i val="0"/>
        <condense val="0"/>
        <extend val="0"/>
        <color indexed="17"/>
      </font>
    </dxf>
    <dxf>
      <font>
        <condense val="0"/>
        <extend val="0"/>
        <color indexed="17"/>
      </font>
    </dxf>
    <dxf>
      <font>
        <condense val="0"/>
        <extend val="0"/>
        <color indexed="17"/>
      </font>
    </dxf>
    <dxf>
      <font>
        <condense val="0"/>
        <extend val="0"/>
        <color indexed="53"/>
      </font>
    </dxf>
    <dxf>
      <font>
        <b/>
        <i val="0"/>
        <condense val="0"/>
        <extend val="0"/>
        <color indexed="10"/>
      </font>
      <fill>
        <patternFill patternType="none">
          <bgColor indexed="65"/>
        </patternFill>
      </fill>
    </dxf>
    <dxf>
      <font>
        <b/>
        <i val="0"/>
        <condense val="0"/>
        <extend val="0"/>
        <color indexed="53"/>
      </font>
    </dxf>
    <dxf>
      <font>
        <b/>
        <i val="0"/>
        <condense val="0"/>
        <extend val="0"/>
        <color indexed="17"/>
      </font>
    </dxf>
    <dxf>
      <font>
        <condense val="0"/>
        <extend val="0"/>
        <color indexed="17"/>
      </font>
    </dxf>
    <dxf>
      <font>
        <condense val="0"/>
        <extend val="0"/>
        <color indexed="53"/>
      </font>
    </dxf>
    <dxf>
      <font>
        <b/>
        <i val="0"/>
        <condense val="0"/>
        <extend val="0"/>
        <color indexed="53"/>
      </font>
    </dxf>
    <dxf>
      <font>
        <b/>
        <i val="0"/>
        <condense val="0"/>
        <extend val="0"/>
        <color indexed="17"/>
      </font>
    </dxf>
    <dxf>
      <font>
        <condense val="0"/>
        <extend val="0"/>
        <color indexed="17"/>
      </font>
    </dxf>
    <dxf>
      <font>
        <condense val="0"/>
        <extend val="0"/>
        <color indexed="53"/>
      </font>
      <fill>
        <patternFill patternType="none">
          <bgColor indexed="65"/>
        </patternFill>
      </fill>
    </dxf>
    <dxf>
      <fill>
        <patternFill>
          <bgColor indexed="11"/>
        </patternFill>
      </fill>
    </dxf>
    <dxf>
      <fill>
        <patternFill>
          <bgColor indexed="51"/>
        </patternFill>
      </fill>
    </dxf>
    <dxf>
      <font>
        <condense val="0"/>
        <extend val="0"/>
        <color indexed="9"/>
      </font>
      <fill>
        <patternFill>
          <bgColor indexed="10"/>
        </patternFill>
      </fill>
    </dxf>
    <dxf>
      <fill>
        <patternFill>
          <bgColor indexed="11"/>
        </patternFill>
      </fill>
    </dxf>
    <dxf>
      <fill>
        <patternFill>
          <bgColor indexed="50"/>
        </patternFill>
      </fill>
    </dxf>
    <dxf>
      <fill>
        <patternFill>
          <bgColor indexed="51"/>
        </patternFill>
      </fill>
    </dxf>
    <dxf>
      <fill>
        <patternFill>
          <bgColor indexed="51"/>
        </patternFill>
      </fill>
    </dxf>
    <dxf>
      <fill>
        <patternFill>
          <bgColor indexed="50"/>
        </patternFill>
      </fill>
    </dxf>
    <dxf>
      <fill>
        <patternFill>
          <bgColor indexed="11"/>
        </patternFill>
      </fill>
    </dxf>
    <dxf>
      <fill>
        <patternFill>
          <bgColor indexed="51"/>
        </patternFill>
      </fill>
    </dxf>
    <dxf>
      <fill>
        <patternFill>
          <bgColor indexed="11"/>
        </patternFill>
      </fill>
    </dxf>
    <dxf>
      <fill>
        <patternFill>
          <bgColor indexed="11"/>
        </patternFill>
      </fill>
    </dxf>
    <dxf>
      <fill>
        <patternFill>
          <bgColor indexed="51"/>
        </patternFill>
      </fill>
    </dxf>
    <dxf>
      <font>
        <b/>
        <i val="0"/>
        <condense val="0"/>
        <extend val="0"/>
        <color indexed="17"/>
      </font>
    </dxf>
    <dxf>
      <font>
        <b/>
        <i val="0"/>
        <condense val="0"/>
        <extend val="0"/>
        <color indexed="53"/>
      </font>
    </dxf>
    <dxf>
      <fill>
        <patternFill>
          <bgColor indexed="51"/>
        </patternFill>
      </fill>
    </dxf>
    <dxf>
      <font>
        <b/>
        <i val="0"/>
        <condense val="0"/>
        <extend val="0"/>
        <color indexed="9"/>
      </font>
      <fill>
        <patternFill>
          <bgColor indexed="10"/>
        </patternFill>
      </fill>
    </dxf>
    <dxf>
      <fill>
        <patternFill>
          <bgColor indexed="11"/>
        </patternFill>
      </fill>
    </dxf>
    <dxf>
      <font>
        <b/>
        <i val="0"/>
        <condense val="0"/>
        <extend val="0"/>
        <color indexed="53"/>
      </font>
    </dxf>
    <dxf>
      <font>
        <b/>
        <i val="0"/>
        <condense val="0"/>
        <extend val="0"/>
        <color indexed="17"/>
      </font>
    </dxf>
    <dxf>
      <font>
        <b/>
        <i val="0"/>
        <condense val="0"/>
        <extend val="0"/>
        <color indexed="53"/>
      </font>
    </dxf>
    <dxf>
      <font>
        <b/>
        <i val="0"/>
        <condense val="0"/>
        <extend val="0"/>
        <color indexed="9"/>
      </font>
      <fill>
        <patternFill>
          <bgColor indexed="10"/>
        </patternFill>
      </fill>
    </dxf>
    <dxf>
      <font>
        <b/>
        <i val="0"/>
        <condense val="0"/>
        <extend val="0"/>
      </font>
      <fill>
        <patternFill>
          <bgColor indexed="51"/>
        </patternFill>
      </fill>
    </dxf>
    <dxf>
      <font>
        <b/>
        <i val="0"/>
        <condense val="0"/>
        <extend val="0"/>
      </font>
      <fill>
        <patternFill>
          <bgColor indexed="11"/>
        </patternFill>
      </fill>
    </dxf>
    <dxf>
      <font>
        <b/>
        <i val="0"/>
        <condense val="0"/>
        <extend val="0"/>
        <color indexed="53"/>
      </font>
    </dxf>
    <dxf>
      <font>
        <b/>
        <i val="0"/>
        <condense val="0"/>
        <extend val="0"/>
        <color indexed="17"/>
      </font>
    </dxf>
    <dxf>
      <font>
        <b/>
        <i val="0"/>
        <condense val="0"/>
        <extend val="0"/>
        <color auto="1"/>
      </font>
      <fill>
        <patternFill>
          <bgColor indexed="11"/>
        </patternFill>
      </fill>
    </dxf>
    <dxf>
      <font>
        <b/>
        <i val="0"/>
        <condense val="0"/>
        <extend val="0"/>
        <color indexed="9"/>
      </font>
      <fill>
        <patternFill>
          <bgColor indexed="10"/>
        </patternFill>
      </fill>
    </dxf>
    <dxf>
      <font>
        <condense val="0"/>
        <extend val="0"/>
        <color indexed="53"/>
      </font>
    </dxf>
    <dxf>
      <font>
        <condense val="0"/>
        <extend val="0"/>
        <color indexed="17"/>
      </font>
    </dxf>
    <dxf>
      <font>
        <b/>
        <i val="0"/>
        <condense val="0"/>
        <extend val="0"/>
        <color indexed="9"/>
      </font>
      <fill>
        <patternFill>
          <bgColor indexed="10"/>
        </patternFill>
      </fill>
    </dxf>
    <dxf>
      <fill>
        <patternFill>
          <bgColor indexed="11"/>
        </patternFill>
      </fill>
    </dxf>
    <dxf>
      <font>
        <b/>
        <i val="0"/>
        <condense val="0"/>
        <extend val="0"/>
        <color auto="1"/>
      </font>
      <fill>
        <patternFill>
          <bgColor indexed="50"/>
        </patternFill>
      </fill>
    </dxf>
    <dxf>
      <fill>
        <patternFill>
          <bgColor indexed="51"/>
        </patternFill>
      </fill>
    </dxf>
    <dxf>
      <fill>
        <patternFill>
          <bgColor indexed="11"/>
        </patternFill>
      </fill>
    </dxf>
    <dxf>
      <font>
        <condense val="0"/>
        <extend val="0"/>
        <color indexed="17"/>
      </font>
    </dxf>
    <dxf>
      <font>
        <condense val="0"/>
        <extend val="0"/>
        <color indexed="53"/>
      </font>
    </dxf>
    <dxf>
      <font>
        <b/>
        <i val="0"/>
        <condense val="0"/>
        <extend val="0"/>
        <color indexed="9"/>
      </font>
      <fill>
        <patternFill>
          <bgColor indexed="10"/>
        </patternFill>
      </fill>
    </dxf>
    <dxf>
      <fill>
        <patternFill>
          <bgColor indexed="51"/>
        </patternFill>
      </fill>
    </dxf>
    <dxf>
      <fill>
        <patternFill>
          <bgColor indexed="11"/>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53"/>
      </font>
      <fill>
        <patternFill patternType="none">
          <bgColor indexed="65"/>
        </patternFill>
      </fill>
    </dxf>
    <dxf>
      <font>
        <b/>
        <i val="0"/>
        <condense val="0"/>
        <extend val="0"/>
        <color auto="1"/>
      </font>
      <fill>
        <patternFill>
          <bgColor indexed="51"/>
        </patternFill>
      </fill>
    </dxf>
    <dxf>
      <font>
        <b/>
        <i val="0"/>
        <condense val="0"/>
        <extend val="0"/>
        <color auto="1"/>
      </font>
      <fill>
        <patternFill>
          <bgColor indexed="11"/>
        </patternFill>
      </fill>
    </dxf>
    <dxf>
      <font>
        <b/>
        <i val="0"/>
        <condense val="0"/>
        <extend val="0"/>
        <color indexed="53"/>
      </font>
    </dxf>
    <dxf>
      <font>
        <b/>
        <i val="0"/>
        <condense val="0"/>
        <extend val="0"/>
        <color indexed="17"/>
      </font>
    </dxf>
    <dxf>
      <font>
        <b/>
        <i val="0"/>
        <color theme="9"/>
      </font>
      <fill>
        <patternFill patternType="none">
          <bgColor indexed="65"/>
        </patternFill>
      </fill>
    </dxf>
    <dxf>
      <font>
        <b/>
        <i val="0"/>
        <color rgb="FF009900"/>
      </font>
    </dxf>
    <dxf>
      <font>
        <condense val="0"/>
        <extend val="0"/>
        <color indexed="9"/>
      </font>
      <fill>
        <patternFill>
          <bgColor indexed="10"/>
        </patternFill>
      </fill>
    </dxf>
    <dxf>
      <fill>
        <patternFill>
          <bgColor indexed="51"/>
        </patternFill>
      </fill>
    </dxf>
    <dxf>
      <fill>
        <patternFill>
          <bgColor indexed="11"/>
        </patternFill>
      </fill>
    </dxf>
    <dxf>
      <font>
        <b/>
        <i val="0"/>
        <condense val="0"/>
        <extend val="0"/>
        <color indexed="17"/>
      </font>
    </dxf>
    <dxf>
      <font>
        <b val="0"/>
        <i val="0"/>
        <condense val="0"/>
        <extend val="0"/>
        <color indexed="53"/>
      </font>
    </dxf>
    <dxf>
      <font>
        <b/>
        <i val="0"/>
        <condense val="0"/>
        <extend val="0"/>
        <color indexed="17"/>
      </font>
    </dxf>
    <dxf>
      <font>
        <b/>
        <i val="0"/>
        <condense val="0"/>
        <extend val="0"/>
        <color indexed="53"/>
      </font>
    </dxf>
    <dxf>
      <font>
        <b/>
        <i val="0"/>
        <condense val="0"/>
        <extend val="0"/>
        <color indexed="17"/>
      </font>
    </dxf>
    <dxf>
      <font>
        <b/>
        <i val="0"/>
        <condense val="0"/>
        <extend val="0"/>
        <color indexed="53"/>
      </font>
    </dxf>
    <dxf>
      <font>
        <condense val="0"/>
        <extend val="0"/>
        <color indexed="17"/>
      </font>
    </dxf>
    <dxf>
      <font>
        <b/>
        <i val="0"/>
        <condense val="0"/>
        <extend val="0"/>
        <color indexed="53"/>
      </font>
    </dxf>
    <dxf>
      <font>
        <condense val="0"/>
        <extend val="0"/>
        <color auto="1"/>
      </font>
      <fill>
        <patternFill>
          <bgColor indexed="51"/>
        </patternFill>
      </fill>
    </dxf>
    <dxf>
      <fill>
        <patternFill>
          <bgColor indexed="11"/>
        </patternFill>
      </fill>
    </dxf>
    <dxf>
      <fill>
        <patternFill>
          <bgColor indexed="51"/>
        </patternFill>
      </fill>
    </dxf>
    <dxf>
      <fill>
        <patternFill>
          <bgColor indexed="11"/>
        </patternFill>
      </fill>
    </dxf>
    <dxf>
      <font>
        <b/>
        <i val="0"/>
        <condense val="0"/>
        <extend val="0"/>
        <color indexed="60"/>
      </font>
      <fill>
        <patternFill>
          <bgColor indexed="13"/>
        </patternFill>
      </fill>
    </dxf>
    <dxf>
      <font>
        <b/>
        <i val="0"/>
        <condense val="0"/>
        <extend val="0"/>
        <color indexed="10"/>
      </font>
    </dxf>
    <dxf>
      <font>
        <b/>
        <i val="0"/>
        <condense val="0"/>
        <extend val="0"/>
        <color indexed="17"/>
      </font>
    </dxf>
    <dxf>
      <font>
        <condense val="0"/>
        <extend val="0"/>
        <color indexed="9"/>
      </font>
      <fill>
        <patternFill>
          <bgColor indexed="10"/>
        </patternFill>
      </fill>
    </dxf>
    <dxf>
      <fill>
        <patternFill>
          <bgColor indexed="51"/>
        </patternFill>
      </fill>
    </dxf>
    <dxf>
      <fill>
        <patternFill>
          <bgColor indexed="11"/>
        </patternFill>
      </fill>
    </dxf>
    <dxf>
      <fill>
        <patternFill>
          <bgColor indexed="11"/>
        </patternFill>
      </fill>
    </dxf>
    <dxf>
      <fill>
        <patternFill>
          <bgColor indexed="50"/>
        </patternFill>
      </fill>
    </dxf>
    <dxf>
      <font>
        <b/>
        <i val="0"/>
        <condense val="0"/>
        <extend val="0"/>
        <color indexed="9"/>
      </font>
      <fill>
        <patternFill>
          <bgColor indexed="10"/>
        </patternFill>
      </fill>
    </dxf>
    <dxf>
      <fill>
        <patternFill>
          <bgColor indexed="11"/>
        </patternFill>
      </fill>
    </dxf>
    <dxf>
      <fill>
        <patternFill>
          <bgColor indexed="50"/>
        </patternFill>
      </fill>
    </dxf>
    <dxf>
      <fill>
        <patternFill>
          <bgColor indexed="51"/>
        </patternFill>
      </fill>
    </dxf>
    <dxf>
      <font>
        <b/>
        <i val="0"/>
        <condense val="0"/>
        <extend val="0"/>
        <color indexed="17"/>
      </font>
    </dxf>
    <dxf>
      <font>
        <b/>
        <i val="0"/>
        <condense val="0"/>
        <extend val="0"/>
        <color indexed="53"/>
      </font>
    </dxf>
    <dxf>
      <font>
        <condense val="0"/>
        <extend val="0"/>
        <color indexed="53"/>
      </font>
    </dxf>
    <dxf>
      <font>
        <condense val="0"/>
        <extend val="0"/>
        <color indexed="17"/>
      </font>
    </dxf>
    <dxf>
      <font>
        <b val="0"/>
        <i val="0"/>
        <color indexed="53"/>
      </font>
    </dxf>
    <dxf>
      <font>
        <b val="0"/>
        <i val="0"/>
        <color indexed="10"/>
      </font>
    </dxf>
    <dxf>
      <font>
        <b/>
        <i val="0"/>
        <condense val="0"/>
        <extend val="0"/>
        <color indexed="17"/>
      </font>
    </dxf>
    <dxf>
      <font>
        <b/>
        <i val="0"/>
        <condense val="0"/>
        <extend val="0"/>
        <color indexed="57"/>
      </font>
    </dxf>
    <dxf>
      <font>
        <b/>
        <i val="0"/>
        <condense val="0"/>
        <extend val="0"/>
        <color indexed="53"/>
      </font>
    </dxf>
    <dxf>
      <font>
        <b/>
        <i val="0"/>
        <condense val="0"/>
        <extend val="0"/>
      </font>
      <fill>
        <patternFill>
          <bgColor indexed="11"/>
        </patternFill>
      </fill>
    </dxf>
    <dxf>
      <font>
        <b/>
        <i val="0"/>
        <condense val="0"/>
        <extend val="0"/>
        <color indexed="10"/>
      </font>
      <fill>
        <patternFill>
          <bgColor indexed="13"/>
        </patternFill>
      </fill>
    </dxf>
    <dxf>
      <font>
        <b/>
        <i val="0"/>
        <condense val="0"/>
        <extend val="0"/>
        <color auto="1"/>
      </font>
      <fill>
        <patternFill>
          <bgColor indexed="51"/>
        </patternFill>
      </fill>
      <border>
        <left/>
        <right/>
        <top/>
        <bottom/>
      </border>
    </dxf>
    <dxf>
      <font>
        <b/>
        <i val="0"/>
        <condense val="0"/>
        <extend val="0"/>
        <color indexed="53"/>
      </font>
    </dxf>
    <dxf>
      <font>
        <b/>
        <i val="0"/>
        <condense val="0"/>
        <extend val="0"/>
        <color indexed="17"/>
      </font>
    </dxf>
    <dxf>
      <font>
        <b/>
        <i val="0"/>
        <condense val="0"/>
        <extend val="0"/>
        <color indexed="57"/>
      </font>
    </dxf>
    <dxf>
      <font>
        <b/>
        <i val="0"/>
        <condense val="0"/>
        <extend val="0"/>
        <color indexed="60"/>
      </font>
    </dxf>
    <dxf>
      <font>
        <b/>
        <i val="0"/>
        <condense val="0"/>
        <extend val="0"/>
        <color indexed="10"/>
      </font>
    </dxf>
    <dxf>
      <font>
        <b/>
        <i val="0"/>
        <condense val="0"/>
        <extend val="0"/>
        <color indexed="10"/>
      </font>
    </dxf>
    <dxf>
      <font>
        <b/>
        <i/>
        <condense val="0"/>
        <extend val="0"/>
        <color indexed="5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EDEAC"/>
      <color rgb="FFADD696"/>
      <color rgb="FFBBD8AC"/>
      <color rgb="FFFFFF99"/>
      <color rgb="FF009900"/>
      <color rgb="FFCC99FF"/>
      <color rgb="FFCC66FF"/>
      <color rgb="FF9966FF"/>
      <color rgb="FF9933FF"/>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40476273799108442"/>
          <c:y val="3.7931011761605425E-2"/>
        </c:manualLayout>
      </c:layout>
      <c:overlay val="0"/>
      <c:spPr>
        <a:noFill/>
        <a:ln w="25400">
          <a:noFill/>
        </a:ln>
      </c:spPr>
    </c:title>
    <c:autoTitleDeleted val="0"/>
    <c:plotArea>
      <c:layout>
        <c:manualLayout>
          <c:layoutTarget val="inner"/>
          <c:xMode val="edge"/>
          <c:yMode val="edge"/>
          <c:x val="2.9761904761904791E-2"/>
          <c:y val="0.15517241379310345"/>
          <c:w val="0.93452380952380965"/>
          <c:h val="0.60344827586206851"/>
        </c:manualLayout>
      </c:layout>
      <c:lineChart>
        <c:grouping val="standard"/>
        <c:varyColors val="0"/>
        <c:ser>
          <c:idx val="2"/>
          <c:order val="0"/>
          <c:tx>
            <c:v>Revenues</c:v>
          </c:tx>
          <c:spPr>
            <a:ln w="38100">
              <a:solidFill>
                <a:srgbClr val="008000"/>
              </a:solidFill>
              <a:prstDash val="solid"/>
            </a:ln>
          </c:spPr>
          <c:marker>
            <c:symbol val="none"/>
          </c:marker>
          <c:cat>
            <c:numRef>
              <c:f>Data!$I$3:$M$3</c:f>
              <c:numCache>
                <c:formatCode>[$-409]d\-mmm\-yy;@</c:formatCode>
                <c:ptCount val="5"/>
              </c:numCache>
            </c:numRef>
          </c:cat>
          <c:val>
            <c:numRef>
              <c:f>Data!$I$40:$M$40</c:f>
              <c:numCache>
                <c:formatCode>_(* #,##0_);_(* \(#,##0\);_(* "-"??_);_(@_)</c:formatCode>
                <c:ptCount val="5"/>
                <c:pt idx="0">
                  <c:v>0</c:v>
                </c:pt>
                <c:pt idx="1">
                  <c:v>53119</c:v>
                </c:pt>
                <c:pt idx="2">
                  <c:v>52034.8</c:v>
                </c:pt>
                <c:pt idx="3">
                  <c:v>54903</c:v>
                </c:pt>
                <c:pt idx="4">
                  <c:v>73163.399999999994</c:v>
                </c:pt>
              </c:numCache>
            </c:numRef>
          </c:val>
          <c:smooth val="0"/>
          <c:extLst>
            <c:ext xmlns:c16="http://schemas.microsoft.com/office/drawing/2014/chart" uri="{C3380CC4-5D6E-409C-BE32-E72D297353CC}">
              <c16:uniqueId val="{00000000-0D25-44D8-805F-954D3A2A05A8}"/>
            </c:ext>
          </c:extLst>
        </c:ser>
        <c:ser>
          <c:idx val="0"/>
          <c:order val="1"/>
          <c:tx>
            <c:v>Inventory</c:v>
          </c:tx>
          <c:spPr>
            <a:ln w="38100">
              <a:solidFill>
                <a:srgbClr val="33CCCC"/>
              </a:solidFill>
              <a:prstDash val="solid"/>
            </a:ln>
          </c:spPr>
          <c:marker>
            <c:symbol val="none"/>
          </c:marker>
          <c:cat>
            <c:numRef>
              <c:f>Data!$I$3:$M$3</c:f>
              <c:numCache>
                <c:formatCode>[$-409]d\-mmm\-yy;@</c:formatCode>
                <c:ptCount val="5"/>
              </c:numCache>
            </c:numRef>
          </c:cat>
          <c:val>
            <c:numRef>
              <c:f>Data!$I$10:$M$10</c:f>
              <c:numCache>
                <c:formatCode>#,##0</c:formatCode>
                <c:ptCount val="5"/>
                <c:pt idx="0">
                  <c:v>3956</c:v>
                </c:pt>
                <c:pt idx="1">
                  <c:v>4106</c:v>
                </c:pt>
                <c:pt idx="2">
                  <c:v>4061</c:v>
                </c:pt>
                <c:pt idx="3">
                  <c:v>6580</c:v>
                </c:pt>
                <c:pt idx="4">
                  <c:v>4946</c:v>
                </c:pt>
              </c:numCache>
            </c:numRef>
          </c:val>
          <c:smooth val="0"/>
          <c:extLst>
            <c:ext xmlns:c16="http://schemas.microsoft.com/office/drawing/2014/chart" uri="{C3380CC4-5D6E-409C-BE32-E72D297353CC}">
              <c16:uniqueId val="{00000001-0D25-44D8-805F-954D3A2A05A8}"/>
            </c:ext>
          </c:extLst>
        </c:ser>
        <c:ser>
          <c:idx val="1"/>
          <c:order val="2"/>
          <c:tx>
            <c:v>Receivables</c:v>
          </c:tx>
          <c:spPr>
            <a:ln w="38100">
              <a:solidFill>
                <a:srgbClr val="FF00FF"/>
              </a:solidFill>
              <a:prstDash val="solid"/>
            </a:ln>
          </c:spPr>
          <c:marker>
            <c:symbol val="none"/>
          </c:marker>
          <c:cat>
            <c:numRef>
              <c:f>Data!$I$3:$M$3</c:f>
              <c:numCache>
                <c:formatCode>[$-409]d\-mmm\-yy;@</c:formatCode>
                <c:ptCount val="5"/>
              </c:numCache>
            </c:numRef>
          </c:cat>
          <c:val>
            <c:numRef>
              <c:f>Data!$I$9:$M$9</c:f>
              <c:numCache>
                <c:formatCode>#,##0</c:formatCode>
                <c:ptCount val="5"/>
                <c:pt idx="0">
                  <c:v>48995</c:v>
                </c:pt>
                <c:pt idx="1">
                  <c:v>45804</c:v>
                </c:pt>
                <c:pt idx="2">
                  <c:v>37445</c:v>
                </c:pt>
                <c:pt idx="3">
                  <c:v>51506</c:v>
                </c:pt>
                <c:pt idx="4">
                  <c:v>60932</c:v>
                </c:pt>
              </c:numCache>
            </c:numRef>
          </c:val>
          <c:smooth val="0"/>
          <c:extLst>
            <c:ext xmlns:c16="http://schemas.microsoft.com/office/drawing/2014/chart" uri="{C3380CC4-5D6E-409C-BE32-E72D297353CC}">
              <c16:uniqueId val="{00000002-0D25-44D8-805F-954D3A2A05A8}"/>
            </c:ext>
          </c:extLst>
        </c:ser>
        <c:dLbls>
          <c:showLegendKey val="0"/>
          <c:showVal val="0"/>
          <c:showCatName val="0"/>
          <c:showSerName val="0"/>
          <c:showPercent val="0"/>
          <c:showBubbleSize val="0"/>
        </c:dLbls>
        <c:smooth val="0"/>
        <c:axId val="211989632"/>
        <c:axId val="211991168"/>
      </c:lineChart>
      <c:catAx>
        <c:axId val="211989632"/>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1991168"/>
        <c:crosses val="autoZero"/>
        <c:auto val="1"/>
        <c:lblAlgn val="ctr"/>
        <c:lblOffset val="100"/>
        <c:tickLblSkip val="1"/>
        <c:tickMarkSkip val="1"/>
        <c:noMultiLvlLbl val="1"/>
      </c:catAx>
      <c:valAx>
        <c:axId val="211991168"/>
        <c:scaling>
          <c:orientation val="minMax"/>
        </c:scaling>
        <c:delete val="1"/>
        <c:axPos val="l"/>
        <c:majorGridlines>
          <c:spPr>
            <a:ln w="3175">
              <a:solidFill>
                <a:srgbClr val="000000"/>
              </a:solidFill>
              <a:prstDash val="solid"/>
            </a:ln>
          </c:spPr>
        </c:majorGridlines>
        <c:numFmt formatCode="_(* #,##0_);_(* \(#,##0\);_(* &quot;-&quot;??_);_(@_)" sourceLinked="1"/>
        <c:majorTickMark val="out"/>
        <c:minorTickMark val="none"/>
        <c:tickLblPos val="none"/>
        <c:crossAx val="211989632"/>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b"/>
      <c:layout>
        <c:manualLayout>
          <c:xMode val="edge"/>
          <c:yMode val="edge"/>
          <c:x val="9.3253968253968728E-2"/>
          <c:y val="0.87931033725386865"/>
          <c:w val="0.83928571428571463"/>
          <c:h val="8.9655278445843922E-2"/>
        </c:manualLayout>
      </c:layout>
      <c:overlay val="0"/>
      <c:spPr>
        <a:solidFill>
          <a:srgbClr val="00B050"/>
        </a:solidFill>
        <a:ln w="12700">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881215440955474"/>
          <c:y val="3.6900471123117985E-2"/>
        </c:manualLayout>
      </c:layout>
      <c:overlay val="0"/>
      <c:spPr>
        <a:noFill/>
        <a:ln w="25400">
          <a:noFill/>
        </a:ln>
      </c:spPr>
    </c:title>
    <c:autoTitleDeleted val="0"/>
    <c:plotArea>
      <c:layout>
        <c:manualLayout>
          <c:layoutTarget val="inner"/>
          <c:xMode val="edge"/>
          <c:yMode val="edge"/>
          <c:x val="7.7075098814229304E-2"/>
          <c:y val="0.16614445493800042"/>
          <c:w val="0.78063241106719372"/>
          <c:h val="0.62696020731321755"/>
        </c:manualLayout>
      </c:layout>
      <c:lineChart>
        <c:grouping val="standard"/>
        <c:varyColors val="0"/>
        <c:ser>
          <c:idx val="1"/>
          <c:order val="0"/>
          <c:tx>
            <c:v>Days Waiting for Payment</c:v>
          </c:tx>
          <c:spPr>
            <a:ln w="38100">
              <a:solidFill>
                <a:srgbClr val="00FFFF"/>
              </a:solidFill>
              <a:prstDash val="solid"/>
            </a:ln>
          </c:spPr>
          <c:marker>
            <c:symbol val="none"/>
          </c:marker>
          <c:cat>
            <c:numRef>
              <c:f>Data!$I$84:$M$84</c:f>
              <c:numCache>
                <c:formatCode>[$-409]mmm\-yy;@</c:formatCode>
                <c:ptCount val="5"/>
              </c:numCache>
            </c:numRef>
          </c:cat>
          <c:val>
            <c:numRef>
              <c:f>Data!$I$113:$M$113</c:f>
              <c:numCache>
                <c:formatCode>0.0</c:formatCode>
                <c:ptCount val="5"/>
                <c:pt idx="0">
                  <c:v>9.5804152036730195E-4</c:v>
                </c:pt>
                <c:pt idx="1">
                  <c:v>1.0791815829309644E-3</c:v>
                </c:pt>
                <c:pt idx="2">
                  <c:v>8.2781391562501043E-4</c:v>
                </c:pt>
                <c:pt idx="3">
                  <c:v>9.9194203113326632E-4</c:v>
                </c:pt>
                <c:pt idx="4">
                  <c:v>0</c:v>
                </c:pt>
              </c:numCache>
            </c:numRef>
          </c:val>
          <c:smooth val="0"/>
          <c:extLst>
            <c:ext xmlns:c16="http://schemas.microsoft.com/office/drawing/2014/chart" uri="{C3380CC4-5D6E-409C-BE32-E72D297353CC}">
              <c16:uniqueId val="{00000000-49E8-4EC7-A448-4EBACDA895FB}"/>
            </c:ext>
          </c:extLst>
        </c:ser>
        <c:dLbls>
          <c:showLegendKey val="0"/>
          <c:showVal val="0"/>
          <c:showCatName val="0"/>
          <c:showSerName val="0"/>
          <c:showPercent val="0"/>
          <c:showBubbleSize val="0"/>
        </c:dLbls>
        <c:smooth val="0"/>
        <c:axId val="212461824"/>
        <c:axId val="212463616"/>
      </c:lineChart>
      <c:catAx>
        <c:axId val="212461824"/>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463616"/>
        <c:crosses val="autoZero"/>
        <c:auto val="1"/>
        <c:lblAlgn val="ctr"/>
        <c:lblOffset val="100"/>
        <c:tickLblSkip val="1"/>
        <c:tickMarkSkip val="1"/>
        <c:noMultiLvlLbl val="1"/>
      </c:catAx>
      <c:valAx>
        <c:axId val="212463616"/>
        <c:scaling>
          <c:orientation val="minMax"/>
        </c:scaling>
        <c:delete val="1"/>
        <c:axPos val="l"/>
        <c:majorGridlines>
          <c:spPr>
            <a:ln w="3175">
              <a:solidFill>
                <a:srgbClr val="000000"/>
              </a:solidFill>
              <a:prstDash val="solid"/>
            </a:ln>
          </c:spPr>
        </c:majorGridlines>
        <c:numFmt formatCode="0.0" sourceLinked="1"/>
        <c:majorTickMark val="out"/>
        <c:minorTickMark val="none"/>
        <c:tickLblPos val="none"/>
        <c:crossAx val="212461824"/>
        <c:crosses val="autoZero"/>
        <c:crossBetween val="between"/>
      </c:valAx>
      <c:spPr>
        <a:gradFill rotWithShape="0">
          <a:gsLst>
            <a:gs pos="0">
              <a:srgbClr val="C0C0C0"/>
            </a:gs>
            <a:gs pos="100000">
              <a:srgbClr val="595959"/>
            </a:gs>
          </a:gsLst>
          <a:lin ang="5400000" scaled="1"/>
        </a:gradFill>
        <a:ln w="12700">
          <a:solidFill>
            <a:srgbClr val="808080"/>
          </a:solidFill>
          <a:prstDash val="solid"/>
        </a:ln>
      </c:spPr>
    </c:plotArea>
    <c:legend>
      <c:legendPos val="r"/>
      <c:layout>
        <c:manualLayout>
          <c:xMode val="edge"/>
          <c:yMode val="edge"/>
          <c:x val="0.25296442687747217"/>
          <c:y val="0.90794979079497962"/>
          <c:w val="0.7351778656126482"/>
          <c:h val="6.6945606694560608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55" r="0.750000000000007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40594100984901638"/>
          <c:y val="3.6900543682039842E-2"/>
        </c:manualLayout>
      </c:layout>
      <c:overlay val="0"/>
      <c:spPr>
        <a:noFill/>
        <a:ln w="25400">
          <a:noFill/>
        </a:ln>
      </c:spPr>
    </c:title>
    <c:autoTitleDeleted val="0"/>
    <c:plotArea>
      <c:layout>
        <c:manualLayout>
          <c:layoutTarget val="inner"/>
          <c:xMode val="edge"/>
          <c:yMode val="edge"/>
          <c:x val="8.9108910891089743E-2"/>
          <c:y val="0.15498154981550041"/>
          <c:w val="0.87920792079207921"/>
          <c:h val="0.60147601476014767"/>
        </c:manualLayout>
      </c:layout>
      <c:lineChart>
        <c:grouping val="standard"/>
        <c:varyColors val="0"/>
        <c:ser>
          <c:idx val="0"/>
          <c:order val="0"/>
          <c:tx>
            <c:v>Total Assets</c:v>
          </c:tx>
          <c:spPr>
            <a:ln w="38100">
              <a:solidFill>
                <a:srgbClr val="FF6600"/>
              </a:solidFill>
              <a:prstDash val="solid"/>
            </a:ln>
          </c:spPr>
          <c:marker>
            <c:symbol val="none"/>
          </c:marker>
          <c:cat>
            <c:numRef>
              <c:f>Data!$I$3:$M$3</c:f>
              <c:numCache>
                <c:formatCode>[$-409]d\-mmm\-yy;@</c:formatCode>
                <c:ptCount val="5"/>
              </c:numCache>
            </c:numRef>
          </c:cat>
          <c:val>
            <c:numRef>
              <c:f>Data!$I$14:$M$14</c:f>
              <c:numCache>
                <c:formatCode>#,##0</c:formatCode>
                <c:ptCount val="5"/>
                <c:pt idx="0">
                  <c:v>365725</c:v>
                </c:pt>
                <c:pt idx="1">
                  <c:v>338516</c:v>
                </c:pt>
                <c:pt idx="2">
                  <c:v>323888</c:v>
                </c:pt>
                <c:pt idx="3">
                  <c:v>351002</c:v>
                </c:pt>
                <c:pt idx="4">
                  <c:v>352755</c:v>
                </c:pt>
              </c:numCache>
            </c:numRef>
          </c:val>
          <c:smooth val="0"/>
          <c:extLst>
            <c:ext xmlns:c16="http://schemas.microsoft.com/office/drawing/2014/chart" uri="{C3380CC4-5D6E-409C-BE32-E72D297353CC}">
              <c16:uniqueId val="{00000000-A663-4B16-A5A7-F5341064945C}"/>
            </c:ext>
          </c:extLst>
        </c:ser>
        <c:ser>
          <c:idx val="1"/>
          <c:order val="1"/>
          <c:tx>
            <c:v>Revenues</c:v>
          </c:tx>
          <c:spPr>
            <a:ln w="38100">
              <a:solidFill>
                <a:srgbClr val="00FF00"/>
              </a:solidFill>
              <a:prstDash val="solid"/>
            </a:ln>
          </c:spPr>
          <c:marker>
            <c:symbol val="none"/>
          </c:marker>
          <c:val>
            <c:numRef>
              <c:f>Data!$I$39:$M$39</c:f>
              <c:numCache>
                <c:formatCode>_(* #,##0_);_(* \(#,##0\);_(* "-"??_);_(@_)</c:formatCode>
                <c:ptCount val="5"/>
                <c:pt idx="0">
                  <c:v>0</c:v>
                </c:pt>
                <c:pt idx="1">
                  <c:v>265595</c:v>
                </c:pt>
                <c:pt idx="2">
                  <c:v>260174</c:v>
                </c:pt>
                <c:pt idx="3">
                  <c:v>274515</c:v>
                </c:pt>
                <c:pt idx="4">
                  <c:v>365817</c:v>
                </c:pt>
              </c:numCache>
            </c:numRef>
          </c:val>
          <c:smooth val="0"/>
          <c:extLst>
            <c:ext xmlns:c16="http://schemas.microsoft.com/office/drawing/2014/chart" uri="{C3380CC4-5D6E-409C-BE32-E72D297353CC}">
              <c16:uniqueId val="{00000001-A663-4B16-A5A7-F5341064945C}"/>
            </c:ext>
          </c:extLst>
        </c:ser>
        <c:dLbls>
          <c:showLegendKey val="0"/>
          <c:showVal val="0"/>
          <c:showCatName val="0"/>
          <c:showSerName val="0"/>
          <c:showPercent val="0"/>
          <c:showBubbleSize val="0"/>
        </c:dLbls>
        <c:smooth val="0"/>
        <c:axId val="211449344"/>
        <c:axId val="211450880"/>
      </c:lineChart>
      <c:catAx>
        <c:axId val="211449344"/>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1450880"/>
        <c:crosses val="autoZero"/>
        <c:auto val="1"/>
        <c:lblAlgn val="ctr"/>
        <c:lblOffset val="100"/>
        <c:tickLblSkip val="1"/>
        <c:tickMarkSkip val="1"/>
        <c:noMultiLvlLbl val="1"/>
      </c:catAx>
      <c:valAx>
        <c:axId val="211450880"/>
        <c:scaling>
          <c:orientation val="minMax"/>
        </c:scaling>
        <c:delete val="1"/>
        <c:axPos val="l"/>
        <c:majorGridlines>
          <c:spPr>
            <a:ln w="3175">
              <a:solidFill>
                <a:srgbClr val="000000"/>
              </a:solidFill>
              <a:prstDash val="solid"/>
            </a:ln>
          </c:spPr>
        </c:majorGridlines>
        <c:numFmt formatCode="#,##0" sourceLinked="1"/>
        <c:majorTickMark val="out"/>
        <c:minorTickMark val="none"/>
        <c:tickLblPos val="none"/>
        <c:crossAx val="211449344"/>
        <c:crosses val="autoZero"/>
        <c:crossBetween val="between"/>
      </c:valAx>
      <c:spPr>
        <a:gradFill rotWithShape="0">
          <a:gsLst>
            <a:gs pos="0">
              <a:srgbClr val="C0C0C0"/>
            </a:gs>
            <a:gs pos="100000">
              <a:srgbClr val="595959"/>
            </a:gs>
          </a:gsLst>
          <a:lin ang="5400000" scaled="1"/>
        </a:gradFill>
        <a:ln w="12700">
          <a:solidFill>
            <a:srgbClr val="808080"/>
          </a:solidFill>
          <a:prstDash val="solid"/>
        </a:ln>
      </c:spPr>
    </c:plotArea>
    <c:legend>
      <c:legendPos val="r"/>
      <c:layout>
        <c:manualLayout>
          <c:xMode val="edge"/>
          <c:yMode val="edge"/>
          <c:x val="0.22376237623762379"/>
          <c:y val="0.87500000000000344"/>
          <c:w val="0.63168316831683169"/>
          <c:h val="8.0357142857143224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22" r="0.75000000000000822"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818181818182006"/>
          <c:y val="3.6764623172103487E-2"/>
        </c:manualLayout>
      </c:layout>
      <c:overlay val="0"/>
      <c:spPr>
        <a:noFill/>
        <a:ln w="25400">
          <a:noFill/>
        </a:ln>
      </c:spPr>
    </c:title>
    <c:autoTitleDeleted val="0"/>
    <c:plotArea>
      <c:layout>
        <c:manualLayout>
          <c:layoutTarget val="inner"/>
          <c:xMode val="edge"/>
          <c:yMode val="edge"/>
          <c:x val="0.11067193675889328"/>
          <c:y val="0.15808823529411944"/>
          <c:w val="0.85770750988142297"/>
          <c:h val="0.59926470588233394"/>
        </c:manualLayout>
      </c:layout>
      <c:lineChart>
        <c:grouping val="standard"/>
        <c:varyColors val="0"/>
        <c:ser>
          <c:idx val="0"/>
          <c:order val="0"/>
          <c:tx>
            <c:v>Total Assets</c:v>
          </c:tx>
          <c:spPr>
            <a:ln w="38100">
              <a:solidFill>
                <a:srgbClr val="FF6600"/>
              </a:solidFill>
              <a:prstDash val="solid"/>
            </a:ln>
          </c:spPr>
          <c:marker>
            <c:symbol val="none"/>
          </c:marker>
          <c:cat>
            <c:numRef>
              <c:f>Data!$I$84:$M$84</c:f>
              <c:numCache>
                <c:formatCode>[$-409]mmm\-yy;@</c:formatCode>
                <c:ptCount val="5"/>
              </c:numCache>
            </c:numRef>
          </c:cat>
          <c:val>
            <c:numRef>
              <c:f>Data!$I$110:$M$110</c:f>
              <c:numCache>
                <c:formatCode>_(* #,##0_);_(* \(#,##0\);_(* "-"??_);_(@_)</c:formatCode>
                <c:ptCount val="5"/>
                <c:pt idx="0">
                  <c:v>352755</c:v>
                </c:pt>
                <c:pt idx="1">
                  <c:v>351002</c:v>
                </c:pt>
                <c:pt idx="2">
                  <c:v>323888</c:v>
                </c:pt>
                <c:pt idx="3">
                  <c:v>338516</c:v>
                </c:pt>
                <c:pt idx="4">
                  <c:v>365725</c:v>
                </c:pt>
              </c:numCache>
            </c:numRef>
          </c:val>
          <c:smooth val="0"/>
          <c:extLst>
            <c:ext xmlns:c16="http://schemas.microsoft.com/office/drawing/2014/chart" uri="{C3380CC4-5D6E-409C-BE32-E72D297353CC}">
              <c16:uniqueId val="{00000000-1C50-4201-99D1-CAFC3AAB6DD9}"/>
            </c:ext>
          </c:extLst>
        </c:ser>
        <c:ser>
          <c:idx val="1"/>
          <c:order val="1"/>
          <c:tx>
            <c:v>Revenues</c:v>
          </c:tx>
          <c:spPr>
            <a:ln w="38100">
              <a:solidFill>
                <a:srgbClr val="00FF00"/>
              </a:solidFill>
              <a:prstDash val="solid"/>
            </a:ln>
          </c:spPr>
          <c:marker>
            <c:symbol val="none"/>
          </c:marker>
          <c:cat>
            <c:numRef>
              <c:f>Data!$I$84:$M$84</c:f>
              <c:numCache>
                <c:formatCode>[$-409]mmm\-yy;@</c:formatCode>
                <c:ptCount val="5"/>
              </c:numCache>
            </c:numRef>
          </c:cat>
          <c:val>
            <c:numRef>
              <c:f>Data!$I$95:$M$95</c:f>
              <c:numCache>
                <c:formatCode>0.00</c:formatCode>
                <c:ptCount val="5"/>
                <c:pt idx="0">
                  <c:v>0</c:v>
                </c:pt>
                <c:pt idx="1">
                  <c:v>265595</c:v>
                </c:pt>
                <c:pt idx="2">
                  <c:v>260174</c:v>
                </c:pt>
                <c:pt idx="3">
                  <c:v>274515</c:v>
                </c:pt>
                <c:pt idx="4">
                  <c:v>365817</c:v>
                </c:pt>
              </c:numCache>
            </c:numRef>
          </c:val>
          <c:smooth val="0"/>
          <c:extLst>
            <c:ext xmlns:c16="http://schemas.microsoft.com/office/drawing/2014/chart" uri="{C3380CC4-5D6E-409C-BE32-E72D297353CC}">
              <c16:uniqueId val="{00000001-1C50-4201-99D1-CAFC3AAB6DD9}"/>
            </c:ext>
          </c:extLst>
        </c:ser>
        <c:dLbls>
          <c:showLegendKey val="0"/>
          <c:showVal val="0"/>
          <c:showCatName val="0"/>
          <c:showSerName val="0"/>
          <c:showPercent val="0"/>
          <c:showBubbleSize val="0"/>
        </c:dLbls>
        <c:smooth val="0"/>
        <c:axId val="211550208"/>
        <c:axId val="211551744"/>
      </c:lineChart>
      <c:catAx>
        <c:axId val="211550208"/>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1551744"/>
        <c:crosses val="autoZero"/>
        <c:auto val="1"/>
        <c:lblAlgn val="ctr"/>
        <c:lblOffset val="100"/>
        <c:tickLblSkip val="1"/>
        <c:tickMarkSkip val="1"/>
        <c:noMultiLvlLbl val="1"/>
      </c:catAx>
      <c:valAx>
        <c:axId val="211551744"/>
        <c:scaling>
          <c:orientation val="minMax"/>
        </c:scaling>
        <c:delete val="1"/>
        <c:axPos val="l"/>
        <c:majorGridlines>
          <c:spPr>
            <a:ln w="3175">
              <a:solidFill>
                <a:srgbClr val="000000"/>
              </a:solidFill>
              <a:prstDash val="solid"/>
            </a:ln>
          </c:spPr>
        </c:majorGridlines>
        <c:numFmt formatCode="_(* #,##0_);_(* \(#,##0\);_(* &quot;-&quot;??_);_(@_)" sourceLinked="1"/>
        <c:majorTickMark val="out"/>
        <c:minorTickMark val="none"/>
        <c:tickLblPos val="none"/>
        <c:crossAx val="211550208"/>
        <c:crosses val="autoZero"/>
        <c:crossBetween val="between"/>
      </c:valAx>
      <c:spPr>
        <a:gradFill rotWithShape="0">
          <a:gsLst>
            <a:gs pos="0">
              <a:srgbClr val="C0C0C0"/>
            </a:gs>
            <a:gs pos="100000">
              <a:srgbClr val="595959"/>
            </a:gs>
          </a:gsLst>
          <a:lin ang="5400000" scaled="1"/>
        </a:gradFill>
        <a:ln w="12700">
          <a:solidFill>
            <a:srgbClr val="808080"/>
          </a:solidFill>
          <a:prstDash val="solid"/>
        </a:ln>
      </c:spPr>
    </c:plotArea>
    <c:legend>
      <c:legendPos val="r"/>
      <c:layout>
        <c:manualLayout>
          <c:xMode val="edge"/>
          <c:yMode val="edge"/>
          <c:x val="0.19762845849802371"/>
          <c:y val="0.89285714285714257"/>
          <c:w val="0.78063241106719372"/>
          <c:h val="8.0357142857143224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40476273799108442"/>
          <c:y val="3.6900501073729629E-2"/>
        </c:manualLayout>
      </c:layout>
      <c:overlay val="0"/>
      <c:spPr>
        <a:noFill/>
        <a:ln w="25400">
          <a:noFill/>
        </a:ln>
      </c:spPr>
    </c:title>
    <c:autoTitleDeleted val="0"/>
    <c:plotArea>
      <c:layout>
        <c:manualLayout>
          <c:layoutTarget val="inner"/>
          <c:xMode val="edge"/>
          <c:yMode val="edge"/>
          <c:x val="2.9761904761904791E-2"/>
          <c:y val="0.15129151291512921"/>
          <c:w val="0.93055555555555569"/>
          <c:h val="0.64944649446494462"/>
        </c:manualLayout>
      </c:layout>
      <c:lineChart>
        <c:grouping val="standard"/>
        <c:varyColors val="0"/>
        <c:ser>
          <c:idx val="1"/>
          <c:order val="0"/>
          <c:tx>
            <c:v>Property Plant &amp; Equipment (PP&amp;E)</c:v>
          </c:tx>
          <c:spPr>
            <a:ln w="38100">
              <a:solidFill>
                <a:srgbClr val="FF00FF"/>
              </a:solidFill>
              <a:prstDash val="solid"/>
            </a:ln>
          </c:spPr>
          <c:marker>
            <c:symbol val="none"/>
          </c:marker>
          <c:cat>
            <c:numRef>
              <c:f>Data!$I$3:$M$3</c:f>
              <c:numCache>
                <c:formatCode>[$-409]d\-mmm\-yy;@</c:formatCode>
                <c:ptCount val="5"/>
              </c:numCache>
            </c:numRef>
          </c:cat>
          <c:val>
            <c:numRef>
              <c:f>Data!$I$22:$M$22</c:f>
              <c:numCache>
                <c:formatCode>#,##0</c:formatCode>
                <c:ptCount val="5"/>
                <c:pt idx="0">
                  <c:v>41304</c:v>
                </c:pt>
                <c:pt idx="1">
                  <c:v>37378</c:v>
                </c:pt>
                <c:pt idx="2">
                  <c:v>36766</c:v>
                </c:pt>
                <c:pt idx="3">
                  <c:v>39440</c:v>
                </c:pt>
                <c:pt idx="4">
                  <c:v>42117</c:v>
                </c:pt>
              </c:numCache>
            </c:numRef>
          </c:val>
          <c:smooth val="0"/>
          <c:extLst>
            <c:ext xmlns:c16="http://schemas.microsoft.com/office/drawing/2014/chart" uri="{C3380CC4-5D6E-409C-BE32-E72D297353CC}">
              <c16:uniqueId val="{00000000-5E92-4C47-95F3-FBD8E364B991}"/>
            </c:ext>
          </c:extLst>
        </c:ser>
        <c:ser>
          <c:idx val="0"/>
          <c:order val="1"/>
          <c:tx>
            <c:v>Free Cashflow</c:v>
          </c:tx>
          <c:spPr>
            <a:ln w="38100">
              <a:solidFill>
                <a:srgbClr val="FF9900"/>
              </a:solidFill>
              <a:prstDash val="solid"/>
            </a:ln>
          </c:spPr>
          <c:marker>
            <c:symbol val="none"/>
          </c:marker>
          <c:val>
            <c:numRef>
              <c:f>Data!$I$70:$M$70</c:f>
              <c:numCache>
                <c:formatCode>_(* #,##0_);_(* \(#,##0\);_(* "-"??_);_(@_)</c:formatCode>
                <c:ptCount val="5"/>
                <c:pt idx="0">
                  <c:v>0</c:v>
                </c:pt>
                <c:pt idx="1">
                  <c:v>77034</c:v>
                </c:pt>
                <c:pt idx="2">
                  <c:v>65766</c:v>
                </c:pt>
                <c:pt idx="3">
                  <c:v>73901</c:v>
                </c:pt>
                <c:pt idx="4">
                  <c:v>100655</c:v>
                </c:pt>
              </c:numCache>
            </c:numRef>
          </c:val>
          <c:smooth val="0"/>
          <c:extLst>
            <c:ext xmlns:c16="http://schemas.microsoft.com/office/drawing/2014/chart" uri="{C3380CC4-5D6E-409C-BE32-E72D297353CC}">
              <c16:uniqueId val="{00000001-5E92-4C47-95F3-FBD8E364B991}"/>
            </c:ext>
          </c:extLst>
        </c:ser>
        <c:dLbls>
          <c:showLegendKey val="0"/>
          <c:showVal val="0"/>
          <c:showCatName val="0"/>
          <c:showSerName val="0"/>
          <c:showPercent val="0"/>
          <c:showBubbleSize val="0"/>
        </c:dLbls>
        <c:smooth val="0"/>
        <c:axId val="211639680"/>
        <c:axId val="211641472"/>
      </c:lineChart>
      <c:catAx>
        <c:axId val="211639680"/>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1641472"/>
        <c:crosses val="autoZero"/>
        <c:auto val="1"/>
        <c:lblAlgn val="ctr"/>
        <c:lblOffset val="100"/>
        <c:tickLblSkip val="1"/>
        <c:tickMarkSkip val="1"/>
        <c:noMultiLvlLbl val="1"/>
      </c:catAx>
      <c:valAx>
        <c:axId val="211641472"/>
        <c:scaling>
          <c:orientation val="minMax"/>
        </c:scaling>
        <c:delete val="1"/>
        <c:axPos val="l"/>
        <c:majorGridlines>
          <c:spPr>
            <a:ln w="3175">
              <a:solidFill>
                <a:srgbClr val="000000"/>
              </a:solidFill>
              <a:prstDash val="solid"/>
            </a:ln>
          </c:spPr>
        </c:majorGridlines>
        <c:numFmt formatCode="#,##0" sourceLinked="1"/>
        <c:majorTickMark val="out"/>
        <c:minorTickMark val="none"/>
        <c:tickLblPos val="none"/>
        <c:crossAx val="211639680"/>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6.746031746031747E-2"/>
          <c:y val="0.91363636363636358"/>
          <c:w val="0.84126984126984161"/>
          <c:h val="5.9090909090909124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88120890829278"/>
          <c:y val="3.6764582509378106E-2"/>
        </c:manualLayout>
      </c:layout>
      <c:overlay val="0"/>
      <c:spPr>
        <a:noFill/>
        <a:ln w="25400">
          <a:noFill/>
        </a:ln>
      </c:spPr>
    </c:title>
    <c:autoTitleDeleted val="0"/>
    <c:plotArea>
      <c:layout>
        <c:manualLayout>
          <c:layoutTarget val="inner"/>
          <c:xMode val="edge"/>
          <c:yMode val="edge"/>
          <c:x val="2.9702970297029802E-2"/>
          <c:y val="0.16911764705882354"/>
          <c:w val="0.9247524752475248"/>
          <c:h val="0.63970588235294945"/>
        </c:manualLayout>
      </c:layout>
      <c:lineChart>
        <c:grouping val="standard"/>
        <c:varyColors val="0"/>
        <c:ser>
          <c:idx val="1"/>
          <c:order val="0"/>
          <c:tx>
            <c:v>Property Plant &amp; Equipment (PP&amp;E)</c:v>
          </c:tx>
          <c:spPr>
            <a:ln w="38100">
              <a:solidFill>
                <a:srgbClr val="FF00FF"/>
              </a:solidFill>
              <a:prstDash val="solid"/>
            </a:ln>
          </c:spPr>
          <c:marker>
            <c:symbol val="none"/>
          </c:marker>
          <c:cat>
            <c:numRef>
              <c:f>Data!$I$84:$M$84</c:f>
              <c:numCache>
                <c:formatCode>[$-409]mmm\-yy;@</c:formatCode>
                <c:ptCount val="5"/>
              </c:numCache>
            </c:numRef>
          </c:cat>
          <c:val>
            <c:numRef>
              <c:f>Data!$I$105:$M$105</c:f>
              <c:numCache>
                <c:formatCode>_(* #,##0_);_(* \(#,##0\);_(* "-"??_);_(@_)</c:formatCode>
                <c:ptCount val="5"/>
                <c:pt idx="0">
                  <c:v>-42116</c:v>
                </c:pt>
                <c:pt idx="1">
                  <c:v>-39439</c:v>
                </c:pt>
                <c:pt idx="2">
                  <c:v>-36765</c:v>
                </c:pt>
                <c:pt idx="3">
                  <c:v>-37377</c:v>
                </c:pt>
                <c:pt idx="4">
                  <c:v>-41303</c:v>
                </c:pt>
              </c:numCache>
            </c:numRef>
          </c:val>
          <c:smooth val="0"/>
          <c:extLst>
            <c:ext xmlns:c16="http://schemas.microsoft.com/office/drawing/2014/chart" uri="{C3380CC4-5D6E-409C-BE32-E72D297353CC}">
              <c16:uniqueId val="{00000000-4CC3-414A-8BE2-431C5F1CAA47}"/>
            </c:ext>
          </c:extLst>
        </c:ser>
        <c:dLbls>
          <c:showLegendKey val="0"/>
          <c:showVal val="0"/>
          <c:showCatName val="0"/>
          <c:showSerName val="0"/>
          <c:showPercent val="0"/>
          <c:showBubbleSize val="0"/>
        </c:dLbls>
        <c:smooth val="0"/>
        <c:axId val="211674240"/>
        <c:axId val="211675776"/>
      </c:lineChart>
      <c:catAx>
        <c:axId val="211674240"/>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1675776"/>
        <c:crosses val="autoZero"/>
        <c:auto val="1"/>
        <c:lblAlgn val="ctr"/>
        <c:lblOffset val="100"/>
        <c:tickLblSkip val="1"/>
        <c:tickMarkSkip val="1"/>
        <c:noMultiLvlLbl val="1"/>
      </c:catAx>
      <c:valAx>
        <c:axId val="211675776"/>
        <c:scaling>
          <c:orientation val="minMax"/>
        </c:scaling>
        <c:delete val="1"/>
        <c:axPos val="l"/>
        <c:majorGridlines>
          <c:spPr>
            <a:ln w="3175">
              <a:solidFill>
                <a:srgbClr val="000000"/>
              </a:solidFill>
              <a:prstDash val="solid"/>
            </a:ln>
          </c:spPr>
        </c:majorGridlines>
        <c:numFmt formatCode="_(* #,##0_);_(* \(#,##0\);_(* &quot;-&quot;??_);_(@_)" sourceLinked="1"/>
        <c:majorTickMark val="out"/>
        <c:minorTickMark val="none"/>
        <c:tickLblPos val="none"/>
        <c:crossAx val="211674240"/>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5.3465346534653457E-2"/>
          <c:y val="0.91324200913241949"/>
          <c:w val="0.85346534653465345"/>
          <c:h val="7.3059360730593603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FIVE YEARS</a:t>
            </a:r>
            <a:r>
              <a:rPr lang="en-US" baseline="0"/>
              <a:t> </a:t>
            </a:r>
            <a:r>
              <a:rPr lang="en-US"/>
              <a:t>ANNUAL DATA</a:t>
            </a:r>
          </a:p>
        </c:rich>
      </c:tx>
      <c:layout>
        <c:manualLayout>
          <c:xMode val="edge"/>
          <c:yMode val="edge"/>
          <c:x val="0.40481011729821453"/>
          <c:y val="3.7037242591372511E-2"/>
        </c:manualLayout>
      </c:layout>
      <c:overlay val="0"/>
      <c:spPr>
        <a:noFill/>
        <a:ln w="25400">
          <a:noFill/>
        </a:ln>
      </c:spPr>
    </c:title>
    <c:autoTitleDeleted val="0"/>
    <c:plotArea>
      <c:layout>
        <c:manualLayout>
          <c:layoutTarget val="inner"/>
          <c:xMode val="edge"/>
          <c:yMode val="edge"/>
          <c:x val="7.4148296593186391E-2"/>
          <c:y val="0.14074074074074094"/>
          <c:w val="0.8897795591182367"/>
          <c:h val="0.61481481481482425"/>
        </c:manualLayout>
      </c:layout>
      <c:lineChart>
        <c:grouping val="standard"/>
        <c:varyColors val="0"/>
        <c:ser>
          <c:idx val="1"/>
          <c:order val="0"/>
          <c:tx>
            <c:v>Cash Flow per share</c:v>
          </c:tx>
          <c:spPr>
            <a:ln w="38100">
              <a:solidFill>
                <a:srgbClr val="FF00FF"/>
              </a:solidFill>
              <a:prstDash val="solid"/>
            </a:ln>
          </c:spPr>
          <c:marker>
            <c:symbol val="none"/>
          </c:marker>
          <c:cat>
            <c:numRef>
              <c:f>Data!$I$3:$M$3</c:f>
              <c:numCache>
                <c:formatCode>[$-409]d\-mmm\-yy;@</c:formatCode>
                <c:ptCount val="5"/>
              </c:numCache>
            </c:numRef>
          </c:cat>
          <c:val>
            <c:numRef>
              <c:f>Data!$I$67:$M$67</c:f>
              <c:numCache>
                <c:formatCode>_(* #,##0.00_);_(* \(#,##0.00\);_(* "-"??_);_(@_)</c:formatCode>
                <c:ptCount val="5"/>
                <c:pt idx="0">
                  <c:v>3.4454096458303362E-4</c:v>
                </c:pt>
                <c:pt idx="1">
                  <c:v>2.5905231505481677E-4</c:v>
                </c:pt>
                <c:pt idx="2">
                  <c:v>2.1501830099090462E-4</c:v>
                </c:pt>
                <c:pt idx="3">
                  <c:v>2.2952930200699495E-4</c:v>
                </c:pt>
                <c:pt idx="4">
                  <c:v>0</c:v>
                </c:pt>
              </c:numCache>
            </c:numRef>
          </c:val>
          <c:smooth val="0"/>
          <c:extLst>
            <c:ext xmlns:c16="http://schemas.microsoft.com/office/drawing/2014/chart" uri="{C3380CC4-5D6E-409C-BE32-E72D297353CC}">
              <c16:uniqueId val="{00000000-8DEF-4128-A022-7A61A582A420}"/>
            </c:ext>
          </c:extLst>
        </c:ser>
        <c:ser>
          <c:idx val="0"/>
          <c:order val="1"/>
          <c:tx>
            <c:v>Capital Expenditures + Dividends per share</c:v>
          </c:tx>
          <c:spPr>
            <a:ln w="38100">
              <a:solidFill>
                <a:srgbClr val="33CCCC"/>
              </a:solidFill>
              <a:prstDash val="solid"/>
            </a:ln>
          </c:spPr>
          <c:marker>
            <c:symbol val="none"/>
          </c:marker>
          <c:val>
            <c:numRef>
              <c:f>Data!$I$56:$M$56</c:f>
              <c:numCache>
                <c:formatCode>0.00</c:formatCode>
                <c:ptCount val="5"/>
                <c:pt idx="0">
                  <c:v>0</c:v>
                </c:pt>
                <c:pt idx="1">
                  <c:v>2.2506048500534503E-2</c:v>
                </c:pt>
                <c:pt idx="2">
                  <c:v>0.21321271865331903</c:v>
                </c:pt>
                <c:pt idx="3">
                  <c:v>0.41282670177491709</c:v>
                </c:pt>
                <c:pt idx="4">
                  <c:v>0.21265895990093098</c:v>
                </c:pt>
              </c:numCache>
            </c:numRef>
          </c:val>
          <c:smooth val="0"/>
          <c:extLst>
            <c:ext xmlns:c16="http://schemas.microsoft.com/office/drawing/2014/chart" uri="{C3380CC4-5D6E-409C-BE32-E72D297353CC}">
              <c16:uniqueId val="{00000001-8DEF-4128-A022-7A61A582A420}"/>
            </c:ext>
          </c:extLst>
        </c:ser>
        <c:dLbls>
          <c:showLegendKey val="0"/>
          <c:showVal val="0"/>
          <c:showCatName val="0"/>
          <c:showSerName val="0"/>
          <c:showPercent val="0"/>
          <c:showBubbleSize val="0"/>
        </c:dLbls>
        <c:smooth val="0"/>
        <c:axId val="212753792"/>
        <c:axId val="212763776"/>
      </c:lineChart>
      <c:catAx>
        <c:axId val="212753792"/>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763776"/>
        <c:crosses val="autoZero"/>
        <c:auto val="1"/>
        <c:lblAlgn val="ctr"/>
        <c:lblOffset val="100"/>
        <c:tickLblSkip val="1"/>
        <c:tickMarkSkip val="1"/>
        <c:noMultiLvlLbl val="1"/>
      </c:catAx>
      <c:valAx>
        <c:axId val="212763776"/>
        <c:scaling>
          <c:orientation val="minMax"/>
        </c:scaling>
        <c:delete val="1"/>
        <c:axPos val="l"/>
        <c:majorGridlines>
          <c:spPr>
            <a:ln w="3175">
              <a:solidFill>
                <a:srgbClr val="000000"/>
              </a:solidFill>
              <a:prstDash val="solid"/>
            </a:ln>
          </c:spPr>
        </c:majorGridlines>
        <c:numFmt formatCode="\$#,##0.00" sourceLinked="0"/>
        <c:majorTickMark val="out"/>
        <c:minorTickMark val="none"/>
        <c:tickLblPos val="nextTo"/>
        <c:crossAx val="212753792"/>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0179640718562952"/>
          <c:y val="0.88986784140969166"/>
          <c:w val="0.82435129740519553"/>
          <c:h val="7.929515418502199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40476273799108442"/>
          <c:y val="3.731346081739783E-2"/>
        </c:manualLayout>
      </c:layout>
      <c:overlay val="0"/>
      <c:spPr>
        <a:noFill/>
        <a:ln w="25400">
          <a:noFill/>
        </a:ln>
      </c:spPr>
    </c:title>
    <c:autoTitleDeleted val="0"/>
    <c:plotArea>
      <c:layout>
        <c:manualLayout>
          <c:layoutTarget val="inner"/>
          <c:xMode val="edge"/>
          <c:yMode val="edge"/>
          <c:x val="0.10912698412698615"/>
          <c:y val="0.14800995024875618"/>
          <c:w val="0.7361111111111116"/>
          <c:h val="0.62810945273632679"/>
        </c:manualLayout>
      </c:layout>
      <c:lineChart>
        <c:grouping val="standard"/>
        <c:varyColors val="0"/>
        <c:ser>
          <c:idx val="1"/>
          <c:order val="0"/>
          <c:tx>
            <c:v>Long Term Debt</c:v>
          </c:tx>
          <c:spPr>
            <a:ln w="38100">
              <a:solidFill>
                <a:srgbClr val="FFFF00"/>
              </a:solidFill>
              <a:prstDash val="solid"/>
            </a:ln>
          </c:spPr>
          <c:marker>
            <c:symbol val="none"/>
          </c:marker>
          <c:cat>
            <c:numRef>
              <c:f>Data!$I$3:$M$3</c:f>
              <c:numCache>
                <c:formatCode>[$-409]d\-mmm\-yy;@</c:formatCode>
                <c:ptCount val="5"/>
              </c:numCache>
            </c:numRef>
          </c:cat>
          <c:val>
            <c:numRef>
              <c:f>Data!$C$30:$G$30</c:f>
              <c:numCache>
                <c:formatCode>_(* #,##0_);_(* \(#,##0\);_(* "-"??_);_(@_)</c:formatCode>
                <c:ptCount val="5"/>
                <c:pt idx="0">
                  <c:v>98959</c:v>
                </c:pt>
                <c:pt idx="1">
                  <c:v>109106</c:v>
                </c:pt>
                <c:pt idx="2">
                  <c:v>98667</c:v>
                </c:pt>
                <c:pt idx="3">
                  <c:v>91807</c:v>
                </c:pt>
                <c:pt idx="4">
                  <c:v>93735</c:v>
                </c:pt>
              </c:numCache>
            </c:numRef>
          </c:val>
          <c:smooth val="0"/>
          <c:extLst>
            <c:ext xmlns:c16="http://schemas.microsoft.com/office/drawing/2014/chart" uri="{C3380CC4-5D6E-409C-BE32-E72D297353CC}">
              <c16:uniqueId val="{00000000-52E4-4E35-ABD8-BD915FBE9E90}"/>
            </c:ext>
          </c:extLst>
        </c:ser>
        <c:dLbls>
          <c:showLegendKey val="0"/>
          <c:showVal val="0"/>
          <c:showCatName val="0"/>
          <c:showSerName val="0"/>
          <c:showPercent val="0"/>
          <c:showBubbleSize val="0"/>
        </c:dLbls>
        <c:smooth val="0"/>
        <c:axId val="212486400"/>
        <c:axId val="212488192"/>
      </c:lineChart>
      <c:catAx>
        <c:axId val="212486400"/>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488192"/>
        <c:crossesAt val="0"/>
        <c:auto val="1"/>
        <c:lblAlgn val="ctr"/>
        <c:lblOffset val="100"/>
        <c:tickLblSkip val="1"/>
        <c:tickMarkSkip val="1"/>
        <c:noMultiLvlLbl val="1"/>
      </c:catAx>
      <c:valAx>
        <c:axId val="2124881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486400"/>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egendEntry>
        <c:idx val="0"/>
        <c:txPr>
          <a:bodyPr/>
          <a:lstStyle/>
          <a:p>
            <a:pPr>
              <a:defRPr sz="800" b="0" i="0" u="none" strike="noStrike" baseline="0">
                <a:solidFill>
                  <a:schemeClr val="bg1"/>
                </a:solidFill>
                <a:latin typeface="Arial"/>
                <a:ea typeface="Arial"/>
                <a:cs typeface="Arial"/>
              </a:defRPr>
            </a:pPr>
            <a:endParaRPr lang="en-US"/>
          </a:p>
        </c:txPr>
      </c:legendEntry>
      <c:layout>
        <c:manualLayout>
          <c:xMode val="edge"/>
          <c:yMode val="edge"/>
          <c:x val="0.22619047619047641"/>
          <c:y val="0.88392857142857628"/>
          <c:w val="0.52182539682539764"/>
          <c:h val="8.0357142857143224E-2"/>
        </c:manualLayout>
      </c:layout>
      <c:overlay val="0"/>
      <c:spPr>
        <a:solidFill>
          <a:srgbClr val="00B050"/>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55" r="0.7500000000000085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88120890829278"/>
          <c:y val="3.7174728158980132E-2"/>
        </c:manualLayout>
      </c:layout>
      <c:overlay val="0"/>
      <c:spPr>
        <a:noFill/>
        <a:ln w="25400">
          <a:noFill/>
        </a:ln>
      </c:spPr>
    </c:title>
    <c:autoTitleDeleted val="0"/>
    <c:plotArea>
      <c:layout>
        <c:manualLayout>
          <c:layoutTarget val="inner"/>
          <c:xMode val="edge"/>
          <c:yMode val="edge"/>
          <c:x val="0.10891089108910891"/>
          <c:y val="0.14869888475836698"/>
          <c:w val="0.85742574257425763"/>
          <c:h val="0.6394052044609666"/>
        </c:manualLayout>
      </c:layout>
      <c:lineChart>
        <c:grouping val="standard"/>
        <c:varyColors val="0"/>
        <c:ser>
          <c:idx val="1"/>
          <c:order val="0"/>
          <c:tx>
            <c:v>Long Term Debt</c:v>
          </c:tx>
          <c:spPr>
            <a:ln w="38100">
              <a:solidFill>
                <a:srgbClr val="FFFF00"/>
              </a:solidFill>
              <a:prstDash val="solid"/>
            </a:ln>
          </c:spPr>
          <c:marker>
            <c:symbol val="none"/>
          </c:marker>
          <c:cat>
            <c:numRef>
              <c:f>Data!$I$84:$M$84</c:f>
              <c:numCache>
                <c:formatCode>[$-409]mmm\-yy;@</c:formatCode>
                <c:ptCount val="5"/>
              </c:numCache>
            </c:numRef>
          </c:cat>
          <c:val>
            <c:numRef>
              <c:f>Data!$I$118:$M$118</c:f>
              <c:numCache>
                <c:formatCode>#,##0.00</c:formatCode>
                <c:ptCount val="5"/>
                <c:pt idx="0">
                  <c:v>93735</c:v>
                </c:pt>
                <c:pt idx="1">
                  <c:v>91807</c:v>
                </c:pt>
                <c:pt idx="2">
                  <c:v>98667</c:v>
                </c:pt>
                <c:pt idx="3">
                  <c:v>109106</c:v>
                </c:pt>
                <c:pt idx="4">
                  <c:v>98959</c:v>
                </c:pt>
              </c:numCache>
            </c:numRef>
          </c:val>
          <c:smooth val="0"/>
          <c:extLst>
            <c:ext xmlns:c16="http://schemas.microsoft.com/office/drawing/2014/chart" uri="{C3380CC4-5D6E-409C-BE32-E72D297353CC}">
              <c16:uniqueId val="{00000000-F397-49E7-90F5-8D05C3B5B8B4}"/>
            </c:ext>
          </c:extLst>
        </c:ser>
        <c:dLbls>
          <c:showLegendKey val="0"/>
          <c:showVal val="0"/>
          <c:showCatName val="0"/>
          <c:showSerName val="0"/>
          <c:showPercent val="0"/>
          <c:showBubbleSize val="0"/>
        </c:dLbls>
        <c:smooth val="0"/>
        <c:axId val="212529920"/>
        <c:axId val="212531456"/>
      </c:lineChart>
      <c:catAx>
        <c:axId val="212529920"/>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531456"/>
        <c:crosses val="autoZero"/>
        <c:auto val="1"/>
        <c:lblAlgn val="ctr"/>
        <c:lblOffset val="100"/>
        <c:tickLblSkip val="1"/>
        <c:tickMarkSkip val="1"/>
        <c:noMultiLvlLbl val="1"/>
      </c:catAx>
      <c:valAx>
        <c:axId val="2125314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529920"/>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egendEntry>
        <c:idx val="0"/>
        <c:txPr>
          <a:bodyPr/>
          <a:lstStyle/>
          <a:p>
            <a:pPr>
              <a:defRPr sz="800" b="0" i="0" u="none" strike="noStrike" baseline="0">
                <a:solidFill>
                  <a:schemeClr val="bg1"/>
                </a:solidFill>
                <a:latin typeface="Arial"/>
                <a:ea typeface="Arial"/>
                <a:cs typeface="Arial"/>
              </a:defRPr>
            </a:pPr>
            <a:endParaRPr lang="en-US"/>
          </a:p>
        </c:txPr>
      </c:legendEntry>
      <c:layout>
        <c:manualLayout>
          <c:xMode val="edge"/>
          <c:yMode val="edge"/>
          <c:x val="0.31881188118812176"/>
          <c:y val="0.8883928571428571"/>
          <c:w val="0.47722772277227732"/>
          <c:h val="8.0357142857143224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88" r="0.75000000000000788"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40481004002756182"/>
          <c:y val="3.7036932883389918E-2"/>
        </c:manualLayout>
      </c:layout>
      <c:overlay val="0"/>
      <c:spPr>
        <a:noFill/>
        <a:ln w="25400">
          <a:noFill/>
        </a:ln>
      </c:spPr>
    </c:title>
    <c:autoTitleDeleted val="0"/>
    <c:plotArea>
      <c:layout>
        <c:manualLayout>
          <c:layoutTarget val="inner"/>
          <c:xMode val="edge"/>
          <c:yMode val="edge"/>
          <c:x val="7.4148296593186391E-2"/>
          <c:y val="0.14074074074074094"/>
          <c:w val="0.8897795591182367"/>
          <c:h val="0.67433867641544809"/>
        </c:manualLayout>
      </c:layout>
      <c:lineChart>
        <c:grouping val="standard"/>
        <c:varyColors val="0"/>
        <c:ser>
          <c:idx val="1"/>
          <c:order val="0"/>
          <c:tx>
            <c:v>Gross Margin</c:v>
          </c:tx>
          <c:spPr>
            <a:ln w="38100">
              <a:solidFill>
                <a:srgbClr val="FF00FF"/>
              </a:solidFill>
              <a:prstDash val="solid"/>
            </a:ln>
          </c:spPr>
          <c:marker>
            <c:symbol val="none"/>
          </c:marker>
          <c:cat>
            <c:numRef>
              <c:f>Data!$I$3:$M$3</c:f>
              <c:numCache>
                <c:formatCode>[$-409]d\-mmm\-yy;@</c:formatCode>
                <c:ptCount val="5"/>
              </c:numCache>
            </c:numRef>
          </c:cat>
          <c:val>
            <c:numRef>
              <c:f>Data!$I$46:$M$46</c:f>
              <c:numCache>
                <c:formatCode>0%</c:formatCode>
                <c:ptCount val="5"/>
                <c:pt idx="0">
                  <c:v>0</c:v>
                </c:pt>
                <c:pt idx="1">
                  <c:v>0.38343718820007905</c:v>
                </c:pt>
                <c:pt idx="2">
                  <c:v>0.37817768109034722</c:v>
                </c:pt>
                <c:pt idx="3">
                  <c:v>0.38233247727810865</c:v>
                </c:pt>
                <c:pt idx="4">
                  <c:v>0.41779359625167778</c:v>
                </c:pt>
              </c:numCache>
            </c:numRef>
          </c:val>
          <c:smooth val="0"/>
          <c:extLst>
            <c:ext xmlns:c16="http://schemas.microsoft.com/office/drawing/2014/chart" uri="{C3380CC4-5D6E-409C-BE32-E72D297353CC}">
              <c16:uniqueId val="{00000000-9A06-48ED-B79A-AC6C24999DA1}"/>
            </c:ext>
          </c:extLst>
        </c:ser>
        <c:ser>
          <c:idx val="0"/>
          <c:order val="1"/>
          <c:tx>
            <c:v>Operating Margin</c:v>
          </c:tx>
          <c:spPr>
            <a:ln w="38100">
              <a:solidFill>
                <a:srgbClr val="33CCCC"/>
              </a:solidFill>
              <a:prstDash val="solid"/>
            </a:ln>
          </c:spPr>
          <c:marker>
            <c:symbol val="none"/>
          </c:marker>
          <c:val>
            <c:numRef>
              <c:f>Data!$I$48:$M$48</c:f>
              <c:numCache>
                <c:formatCode>0%</c:formatCode>
                <c:ptCount val="5"/>
                <c:pt idx="0">
                  <c:v>0</c:v>
                </c:pt>
                <c:pt idx="1">
                  <c:v>0.26694026619477024</c:v>
                </c:pt>
                <c:pt idx="2">
                  <c:v>0.24572017188496928</c:v>
                </c:pt>
                <c:pt idx="3">
                  <c:v>0.24147314354406862</c:v>
                </c:pt>
                <c:pt idx="4">
                  <c:v>0.29782377527561593</c:v>
                </c:pt>
              </c:numCache>
            </c:numRef>
          </c:val>
          <c:smooth val="0"/>
          <c:extLst>
            <c:ext xmlns:c16="http://schemas.microsoft.com/office/drawing/2014/chart" uri="{C3380CC4-5D6E-409C-BE32-E72D297353CC}">
              <c16:uniqueId val="{00000001-9A06-48ED-B79A-AC6C24999DA1}"/>
            </c:ext>
          </c:extLst>
        </c:ser>
        <c:ser>
          <c:idx val="2"/>
          <c:order val="2"/>
          <c:tx>
            <c:v>Net Profit Margin</c:v>
          </c:tx>
          <c:spPr>
            <a:ln w="38100">
              <a:solidFill>
                <a:srgbClr val="FFFF00"/>
              </a:solidFill>
              <a:prstDash val="solid"/>
            </a:ln>
          </c:spPr>
          <c:marker>
            <c:symbol val="none"/>
          </c:marker>
          <c:val>
            <c:numRef>
              <c:f>Data!$I$50:$M$50</c:f>
              <c:numCache>
                <c:formatCode>0%</c:formatCode>
                <c:ptCount val="5"/>
                <c:pt idx="0">
                  <c:v>0</c:v>
                </c:pt>
                <c:pt idx="1">
                  <c:v>0.22414202074587247</c:v>
                </c:pt>
                <c:pt idx="2">
                  <c:v>0.21238094505984456</c:v>
                </c:pt>
                <c:pt idx="3">
                  <c:v>0.20913611278072236</c:v>
                </c:pt>
                <c:pt idx="4">
                  <c:v>0.25881793355694238</c:v>
                </c:pt>
              </c:numCache>
            </c:numRef>
          </c:val>
          <c:smooth val="0"/>
          <c:extLst>
            <c:ext xmlns:c16="http://schemas.microsoft.com/office/drawing/2014/chart" uri="{C3380CC4-5D6E-409C-BE32-E72D297353CC}">
              <c16:uniqueId val="{00000002-9A06-48ED-B79A-AC6C24999DA1}"/>
            </c:ext>
          </c:extLst>
        </c:ser>
        <c:dLbls>
          <c:showLegendKey val="0"/>
          <c:showVal val="0"/>
          <c:showCatName val="0"/>
          <c:showSerName val="0"/>
          <c:showPercent val="0"/>
          <c:showBubbleSize val="0"/>
        </c:dLbls>
        <c:smooth val="0"/>
        <c:axId val="213132800"/>
        <c:axId val="213134336"/>
      </c:lineChart>
      <c:catAx>
        <c:axId val="213132800"/>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134336"/>
        <c:crosses val="autoZero"/>
        <c:auto val="1"/>
        <c:lblAlgn val="ctr"/>
        <c:lblOffset val="100"/>
        <c:tickLblSkip val="1"/>
        <c:tickMarkSkip val="1"/>
        <c:noMultiLvlLbl val="1"/>
      </c:catAx>
      <c:valAx>
        <c:axId val="213134336"/>
        <c:scaling>
          <c:orientation val="minMax"/>
        </c:scaling>
        <c:delete val="1"/>
        <c:axPos val="l"/>
        <c:majorGridlines>
          <c:spPr>
            <a:ln w="3175">
              <a:solidFill>
                <a:srgbClr val="000000"/>
              </a:solidFill>
              <a:prstDash val="solid"/>
            </a:ln>
          </c:spPr>
        </c:majorGridlines>
        <c:numFmt formatCode="0%" sourceLinked="1"/>
        <c:majorTickMark val="out"/>
        <c:minorTickMark val="none"/>
        <c:tickLblPos val="none"/>
        <c:crossAx val="213132800"/>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0220440881763529"/>
          <c:y val="0.89259280089988768"/>
          <c:w val="0.82765531062124265"/>
          <c:h val="8.1481533558305119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405515944365205"/>
          <c:y val="3.6900297776679657E-2"/>
        </c:manualLayout>
      </c:layout>
      <c:overlay val="0"/>
      <c:spPr>
        <a:noFill/>
        <a:ln w="25400">
          <a:noFill/>
        </a:ln>
      </c:spPr>
    </c:title>
    <c:autoTitleDeleted val="0"/>
    <c:plotArea>
      <c:layout>
        <c:manualLayout>
          <c:layoutTarget val="inner"/>
          <c:xMode val="edge"/>
          <c:yMode val="edge"/>
          <c:x val="0.10826771653543329"/>
          <c:y val="0.14022140221402221"/>
          <c:w val="0.85039370078740151"/>
          <c:h val="0.6346863468634687"/>
        </c:manualLayout>
      </c:layout>
      <c:lineChart>
        <c:grouping val="standard"/>
        <c:varyColors val="0"/>
        <c:ser>
          <c:idx val="1"/>
          <c:order val="0"/>
          <c:tx>
            <c:v>Gross Margin</c:v>
          </c:tx>
          <c:spPr>
            <a:ln w="38100">
              <a:solidFill>
                <a:srgbClr val="FF00FF"/>
              </a:solidFill>
              <a:prstDash val="solid"/>
            </a:ln>
          </c:spPr>
          <c:marker>
            <c:symbol val="none"/>
          </c:marker>
          <c:cat>
            <c:numRef>
              <c:f>Data!$I$84:$M$84</c:f>
              <c:numCache>
                <c:formatCode>[$-409]mmm\-yy;@</c:formatCode>
                <c:ptCount val="5"/>
              </c:numCache>
            </c:numRef>
          </c:cat>
          <c:val>
            <c:numRef>
              <c:f>Data!$I$103:$M$103</c:f>
              <c:numCache>
                <c:formatCode>0.0%</c:formatCode>
                <c:ptCount val="5"/>
                <c:pt idx="0">
                  <c:v>0.41779359625167778</c:v>
                </c:pt>
                <c:pt idx="1">
                  <c:v>0.38233247727810865</c:v>
                </c:pt>
                <c:pt idx="2">
                  <c:v>0.37817768109034722</c:v>
                </c:pt>
                <c:pt idx="3">
                  <c:v>0.38343718820007905</c:v>
                </c:pt>
                <c:pt idx="4">
                  <c:v>0</c:v>
                </c:pt>
              </c:numCache>
            </c:numRef>
          </c:val>
          <c:smooth val="0"/>
          <c:extLst>
            <c:ext xmlns:c16="http://schemas.microsoft.com/office/drawing/2014/chart" uri="{C3380CC4-5D6E-409C-BE32-E72D297353CC}">
              <c16:uniqueId val="{00000000-9471-4BAD-B9E6-AE152D52C597}"/>
            </c:ext>
          </c:extLst>
        </c:ser>
        <c:ser>
          <c:idx val="0"/>
          <c:order val="1"/>
          <c:tx>
            <c:v>Operating Margin</c:v>
          </c:tx>
          <c:spPr>
            <a:ln w="38100">
              <a:solidFill>
                <a:srgbClr val="33CCCC"/>
              </a:solidFill>
              <a:prstDash val="solid"/>
            </a:ln>
          </c:spPr>
          <c:marker>
            <c:symbol val="none"/>
          </c:marker>
          <c:cat>
            <c:numRef>
              <c:f>Data!$I$84:$M$84</c:f>
              <c:numCache>
                <c:formatCode>[$-409]mmm\-yy;@</c:formatCode>
                <c:ptCount val="5"/>
              </c:numCache>
            </c:numRef>
          </c:cat>
          <c:val>
            <c:numRef>
              <c:f>Data!$I$104:$M$104</c:f>
              <c:numCache>
                <c:formatCode>0.0%</c:formatCode>
                <c:ptCount val="5"/>
                <c:pt idx="0">
                  <c:v>0.25881793355694238</c:v>
                </c:pt>
                <c:pt idx="1">
                  <c:v>0.20913611278072236</c:v>
                </c:pt>
                <c:pt idx="2">
                  <c:v>0.21238094505984456</c:v>
                </c:pt>
                <c:pt idx="3">
                  <c:v>0.22414202074587247</c:v>
                </c:pt>
                <c:pt idx="4">
                  <c:v>0</c:v>
                </c:pt>
              </c:numCache>
            </c:numRef>
          </c:val>
          <c:smooth val="0"/>
          <c:extLst>
            <c:ext xmlns:c16="http://schemas.microsoft.com/office/drawing/2014/chart" uri="{C3380CC4-5D6E-409C-BE32-E72D297353CC}">
              <c16:uniqueId val="{00000001-9471-4BAD-B9E6-AE152D52C597}"/>
            </c:ext>
          </c:extLst>
        </c:ser>
        <c:ser>
          <c:idx val="2"/>
          <c:order val="2"/>
          <c:tx>
            <c:v>Net Profit Margin</c:v>
          </c:tx>
          <c:spPr>
            <a:ln w="38100">
              <a:solidFill>
                <a:srgbClr val="FFFF00"/>
              </a:solidFill>
              <a:prstDash val="solid"/>
            </a:ln>
          </c:spPr>
          <c:marker>
            <c:symbol val="none"/>
          </c:marker>
          <c:cat>
            <c:numRef>
              <c:f>Data!$I$84:$M$84</c:f>
              <c:numCache>
                <c:formatCode>[$-409]mmm\-yy;@</c:formatCode>
                <c:ptCount val="5"/>
              </c:numCache>
            </c:numRef>
          </c:cat>
          <c:val>
            <c:numRef>
              <c:f>Data!$I$102:$M$102</c:f>
              <c:numCache>
                <c:formatCode>0.0%</c:formatCode>
                <c:ptCount val="5"/>
                <c:pt idx="0">
                  <c:v>0.25881793355694238</c:v>
                </c:pt>
                <c:pt idx="1">
                  <c:v>0.20913611278072236</c:v>
                </c:pt>
                <c:pt idx="2">
                  <c:v>0.21238094505984456</c:v>
                </c:pt>
                <c:pt idx="3">
                  <c:v>0.22414202074587247</c:v>
                </c:pt>
                <c:pt idx="4">
                  <c:v>0</c:v>
                </c:pt>
              </c:numCache>
            </c:numRef>
          </c:val>
          <c:smooth val="0"/>
          <c:extLst>
            <c:ext xmlns:c16="http://schemas.microsoft.com/office/drawing/2014/chart" uri="{C3380CC4-5D6E-409C-BE32-E72D297353CC}">
              <c16:uniqueId val="{00000002-9471-4BAD-B9E6-AE152D52C597}"/>
            </c:ext>
          </c:extLst>
        </c:ser>
        <c:dLbls>
          <c:showLegendKey val="0"/>
          <c:showVal val="0"/>
          <c:showCatName val="0"/>
          <c:showSerName val="0"/>
          <c:showPercent val="0"/>
          <c:showBubbleSize val="0"/>
        </c:dLbls>
        <c:smooth val="0"/>
        <c:axId val="213184896"/>
        <c:axId val="213186432"/>
      </c:lineChart>
      <c:catAx>
        <c:axId val="213184896"/>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186432"/>
        <c:crosses val="autoZero"/>
        <c:auto val="1"/>
        <c:lblAlgn val="ctr"/>
        <c:lblOffset val="100"/>
        <c:tickLblSkip val="1"/>
        <c:tickMarkSkip val="1"/>
        <c:noMultiLvlLbl val="1"/>
      </c:catAx>
      <c:valAx>
        <c:axId val="213186432"/>
        <c:scaling>
          <c:orientation val="minMax"/>
        </c:scaling>
        <c:delete val="1"/>
        <c:axPos val="l"/>
        <c:majorGridlines>
          <c:spPr>
            <a:ln w="3175">
              <a:solidFill>
                <a:srgbClr val="000000"/>
              </a:solidFill>
              <a:prstDash val="solid"/>
            </a:ln>
          </c:spPr>
        </c:majorGridlines>
        <c:numFmt formatCode="0.0%" sourceLinked="1"/>
        <c:majorTickMark val="out"/>
        <c:minorTickMark val="none"/>
        <c:tickLblPos val="none"/>
        <c:crossAx val="213184896"/>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673228346456693"/>
          <c:y val="0.90582959641255978"/>
          <c:w val="0.82480314960629919"/>
          <c:h val="8.0717488789237762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67332768662881"/>
          <c:y val="3.780050315287381E-2"/>
        </c:manualLayout>
      </c:layout>
      <c:overlay val="0"/>
      <c:spPr>
        <a:noFill/>
        <a:ln w="25400">
          <a:noFill/>
        </a:ln>
      </c:spPr>
    </c:title>
    <c:autoTitleDeleted val="0"/>
    <c:plotArea>
      <c:layout>
        <c:manualLayout>
          <c:layoutTarget val="inner"/>
          <c:xMode val="edge"/>
          <c:yMode val="edge"/>
          <c:x val="2.9880478087649851E-2"/>
          <c:y val="0.14776632302405499"/>
          <c:w val="0.92430278884461037"/>
          <c:h val="0.61168384879725057"/>
        </c:manualLayout>
      </c:layout>
      <c:lineChart>
        <c:grouping val="standard"/>
        <c:varyColors val="0"/>
        <c:ser>
          <c:idx val="2"/>
          <c:order val="0"/>
          <c:tx>
            <c:v>Revenues</c:v>
          </c:tx>
          <c:spPr>
            <a:ln w="38100">
              <a:solidFill>
                <a:srgbClr val="008000"/>
              </a:solidFill>
              <a:prstDash val="solid"/>
            </a:ln>
          </c:spPr>
          <c:marker>
            <c:symbol val="none"/>
          </c:marker>
          <c:cat>
            <c:numRef>
              <c:f>Data!$I$84:$M$84</c:f>
              <c:numCache>
                <c:formatCode>[$-409]mmm\-yy;@</c:formatCode>
                <c:ptCount val="5"/>
              </c:numCache>
            </c:numRef>
          </c:cat>
          <c:val>
            <c:numRef>
              <c:f>Data!$C$95:$G$95</c:f>
              <c:numCache>
                <c:formatCode>#,##0.00</c:formatCode>
                <c:ptCount val="5"/>
                <c:pt idx="0">
                  <c:v>365817</c:v>
                </c:pt>
                <c:pt idx="1">
                  <c:v>274515</c:v>
                </c:pt>
                <c:pt idx="2">
                  <c:v>260174</c:v>
                </c:pt>
                <c:pt idx="3">
                  <c:v>265595</c:v>
                </c:pt>
                <c:pt idx="4">
                  <c:v>0</c:v>
                </c:pt>
              </c:numCache>
            </c:numRef>
          </c:val>
          <c:smooth val="0"/>
          <c:extLst>
            <c:ext xmlns:c16="http://schemas.microsoft.com/office/drawing/2014/chart" uri="{C3380CC4-5D6E-409C-BE32-E72D297353CC}">
              <c16:uniqueId val="{00000000-77A9-4665-9D46-0F8B836133DD}"/>
            </c:ext>
          </c:extLst>
        </c:ser>
        <c:ser>
          <c:idx val="0"/>
          <c:order val="1"/>
          <c:tx>
            <c:v>Inventory</c:v>
          </c:tx>
          <c:spPr>
            <a:ln w="38100">
              <a:solidFill>
                <a:srgbClr val="33CCCC"/>
              </a:solidFill>
              <a:prstDash val="solid"/>
            </a:ln>
          </c:spPr>
          <c:marker>
            <c:symbol val="none"/>
          </c:marker>
          <c:cat>
            <c:numRef>
              <c:f>Data!$I$84:$M$84</c:f>
              <c:numCache>
                <c:formatCode>[$-409]mmm\-yy;@</c:formatCode>
                <c:ptCount val="5"/>
              </c:numCache>
            </c:numRef>
          </c:cat>
          <c:val>
            <c:numRef>
              <c:f>Data!$I$107:$M$107</c:f>
              <c:numCache>
                <c:formatCode>_(* #,##0.00_);_(* \(#,##0.00\);_(* "-"??_);_(@_)</c:formatCode>
                <c:ptCount val="5"/>
                <c:pt idx="0">
                  <c:v>3956</c:v>
                </c:pt>
                <c:pt idx="1">
                  <c:v>4106</c:v>
                </c:pt>
                <c:pt idx="2">
                  <c:v>4061</c:v>
                </c:pt>
                <c:pt idx="3">
                  <c:v>6580</c:v>
                </c:pt>
                <c:pt idx="4">
                  <c:v>4946</c:v>
                </c:pt>
              </c:numCache>
            </c:numRef>
          </c:val>
          <c:smooth val="0"/>
          <c:extLst>
            <c:ext xmlns:c16="http://schemas.microsoft.com/office/drawing/2014/chart" uri="{C3380CC4-5D6E-409C-BE32-E72D297353CC}">
              <c16:uniqueId val="{00000001-77A9-4665-9D46-0F8B836133DD}"/>
            </c:ext>
          </c:extLst>
        </c:ser>
        <c:ser>
          <c:idx val="1"/>
          <c:order val="2"/>
          <c:tx>
            <c:v>Receivables</c:v>
          </c:tx>
          <c:spPr>
            <a:ln w="38100">
              <a:solidFill>
                <a:srgbClr val="FF00FF"/>
              </a:solidFill>
              <a:prstDash val="solid"/>
            </a:ln>
          </c:spPr>
          <c:marker>
            <c:symbol val="none"/>
          </c:marker>
          <c:cat>
            <c:numRef>
              <c:f>Data!$I$84:$M$84</c:f>
              <c:numCache>
                <c:formatCode>[$-409]mmm\-yy;@</c:formatCode>
                <c:ptCount val="5"/>
              </c:numCache>
            </c:numRef>
          </c:cat>
          <c:val>
            <c:numRef>
              <c:f>Data!$C$106:$G$106</c:f>
              <c:numCache>
                <c:formatCode>#,##0.00</c:formatCode>
                <c:ptCount val="5"/>
                <c:pt idx="0">
                  <c:v>60932</c:v>
                </c:pt>
                <c:pt idx="1">
                  <c:v>51506</c:v>
                </c:pt>
                <c:pt idx="2">
                  <c:v>37445</c:v>
                </c:pt>
                <c:pt idx="3">
                  <c:v>45804</c:v>
                </c:pt>
                <c:pt idx="4">
                  <c:v>48995</c:v>
                </c:pt>
              </c:numCache>
            </c:numRef>
          </c:val>
          <c:smooth val="0"/>
          <c:extLst>
            <c:ext xmlns:c16="http://schemas.microsoft.com/office/drawing/2014/chart" uri="{C3380CC4-5D6E-409C-BE32-E72D297353CC}">
              <c16:uniqueId val="{00000002-77A9-4665-9D46-0F8B836133DD}"/>
            </c:ext>
          </c:extLst>
        </c:ser>
        <c:dLbls>
          <c:showLegendKey val="0"/>
          <c:showVal val="0"/>
          <c:showCatName val="0"/>
          <c:showSerName val="0"/>
          <c:showPercent val="0"/>
          <c:showBubbleSize val="0"/>
        </c:dLbls>
        <c:smooth val="0"/>
        <c:axId val="212291968"/>
        <c:axId val="212293504"/>
      </c:lineChart>
      <c:catAx>
        <c:axId val="212291968"/>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293504"/>
        <c:crosses val="autoZero"/>
        <c:auto val="1"/>
        <c:lblAlgn val="ctr"/>
        <c:lblOffset val="100"/>
        <c:tickLblSkip val="1"/>
        <c:tickMarkSkip val="1"/>
        <c:noMultiLvlLbl val="1"/>
      </c:catAx>
      <c:valAx>
        <c:axId val="212293504"/>
        <c:scaling>
          <c:orientation val="minMax"/>
        </c:scaling>
        <c:delete val="1"/>
        <c:axPos val="l"/>
        <c:majorGridlines>
          <c:spPr>
            <a:ln w="3175">
              <a:solidFill>
                <a:srgbClr val="000000"/>
              </a:solidFill>
              <a:prstDash val="solid"/>
            </a:ln>
          </c:spPr>
        </c:majorGridlines>
        <c:numFmt formatCode="#,##0.00" sourceLinked="1"/>
        <c:majorTickMark val="out"/>
        <c:minorTickMark val="none"/>
        <c:tickLblPos val="none"/>
        <c:crossAx val="212291968"/>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b"/>
      <c:layout>
        <c:manualLayout>
          <c:xMode val="edge"/>
          <c:yMode val="edge"/>
          <c:x val="8.5657370517928766E-2"/>
          <c:y val="0.87972511734789105"/>
          <c:w val="0.8386454183267007"/>
          <c:h val="8.9346881432352032E-2"/>
        </c:manualLayout>
      </c:layout>
      <c:overlay val="0"/>
      <c:spPr>
        <a:solidFill>
          <a:schemeClr val="tx2">
            <a:lumMod val="60000"/>
            <a:lumOff val="40000"/>
          </a:schemeClr>
        </a:solidFill>
        <a:ln w="12700">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ANNUAL DATA</a:t>
            </a:r>
            <a:endParaRPr lang="en-US"/>
          </a:p>
        </c:rich>
      </c:tx>
      <c:layout>
        <c:manualLayout>
          <c:xMode val="edge"/>
          <c:yMode val="edge"/>
          <c:x val="0.31809145129224903"/>
          <c:y val="3.7800454315407885E-2"/>
        </c:manualLayout>
      </c:layout>
      <c:overlay val="0"/>
      <c:spPr>
        <a:noFill/>
        <a:ln w="25400">
          <a:noFill/>
        </a:ln>
      </c:spPr>
    </c:title>
    <c:autoTitleDeleted val="0"/>
    <c:plotArea>
      <c:layout>
        <c:manualLayout>
          <c:layoutTarget val="inner"/>
          <c:xMode val="edge"/>
          <c:yMode val="edge"/>
          <c:x val="9.9403578528827044E-2"/>
          <c:y val="0.19243986254295731"/>
          <c:w val="0.85884691848907901"/>
          <c:h val="0.59793814432989689"/>
        </c:manualLayout>
      </c:layout>
      <c:lineChart>
        <c:grouping val="standard"/>
        <c:varyColors val="0"/>
        <c:ser>
          <c:idx val="0"/>
          <c:order val="0"/>
          <c:tx>
            <c:v>Dividend</c:v>
          </c:tx>
          <c:spPr>
            <a:ln w="38100">
              <a:solidFill>
                <a:srgbClr val="00FF00"/>
              </a:solidFill>
              <a:prstDash val="solid"/>
            </a:ln>
          </c:spPr>
          <c:marker>
            <c:symbol val="none"/>
          </c:marker>
          <c:cat>
            <c:numRef>
              <c:f>Data!$I$3:$M$3</c:f>
              <c:numCache>
                <c:formatCode>[$-409]d\-mmm\-yy;@</c:formatCode>
                <c:ptCount val="5"/>
              </c:numCache>
            </c:numRef>
          </c:cat>
          <c:val>
            <c:numRef>
              <c:f>Data!$I$54:$M$54</c:f>
              <c:numCache>
                <c:formatCode>_(* #,##0_);_(* \(#,##0\);_(* "-"??_);_(@_)</c:formatCode>
                <c:ptCount val="5"/>
                <c:pt idx="0">
                  <c:v>0</c:v>
                </c:pt>
                <c:pt idx="1">
                  <c:v>13713</c:v>
                </c:pt>
                <c:pt idx="2">
                  <c:v>14120</c:v>
                </c:pt>
                <c:pt idx="3">
                  <c:v>14082</c:v>
                </c:pt>
                <c:pt idx="4" formatCode="#,##0.0_);[Red]\(#,##0.0\)">
                  <c:v>14468</c:v>
                </c:pt>
              </c:numCache>
            </c:numRef>
          </c:val>
          <c:smooth val="0"/>
          <c:extLst>
            <c:ext xmlns:c16="http://schemas.microsoft.com/office/drawing/2014/chart" uri="{C3380CC4-5D6E-409C-BE32-E72D297353CC}">
              <c16:uniqueId val="{00000000-63D3-436A-A19E-D2EEC4040952}"/>
            </c:ext>
          </c:extLst>
        </c:ser>
        <c:dLbls>
          <c:showLegendKey val="0"/>
          <c:showVal val="0"/>
          <c:showCatName val="0"/>
          <c:showSerName val="0"/>
          <c:showPercent val="0"/>
          <c:showBubbleSize val="0"/>
        </c:dLbls>
        <c:smooth val="0"/>
        <c:axId val="212834944"/>
        <c:axId val="212840832"/>
      </c:lineChart>
      <c:catAx>
        <c:axId val="212834944"/>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840832"/>
        <c:crosses val="autoZero"/>
        <c:auto val="0"/>
        <c:lblAlgn val="ctr"/>
        <c:lblOffset val="100"/>
        <c:tickLblSkip val="1"/>
        <c:tickMarkSkip val="1"/>
        <c:noMultiLvlLbl val="0"/>
      </c:catAx>
      <c:valAx>
        <c:axId val="212840832"/>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83494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4579191517561299"/>
          <c:y val="0.89536621823617335"/>
          <c:w val="0.63419483101392082"/>
          <c:h val="5.8295964125560484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00B050"/>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663347692761057"/>
          <c:y val="3.7671456987159409E-2"/>
        </c:manualLayout>
      </c:layout>
      <c:overlay val="0"/>
      <c:spPr>
        <a:noFill/>
        <a:ln w="25400">
          <a:noFill/>
        </a:ln>
      </c:spPr>
    </c:title>
    <c:autoTitleDeleted val="0"/>
    <c:plotArea>
      <c:layout>
        <c:manualLayout>
          <c:layoutTarget val="inner"/>
          <c:xMode val="edge"/>
          <c:yMode val="edge"/>
          <c:x val="0.12424849699398799"/>
          <c:y val="0.19863013698630141"/>
          <c:w val="0.82565130260521924"/>
          <c:h val="0.58561643835616439"/>
        </c:manualLayout>
      </c:layout>
      <c:lineChart>
        <c:grouping val="standard"/>
        <c:varyColors val="0"/>
        <c:ser>
          <c:idx val="1"/>
          <c:order val="0"/>
          <c:tx>
            <c:v>Qtr Gross Margin</c:v>
          </c:tx>
          <c:spPr>
            <a:ln w="38100">
              <a:solidFill>
                <a:srgbClr val="FF00FF"/>
              </a:solidFill>
              <a:prstDash val="solid"/>
            </a:ln>
          </c:spPr>
          <c:marker>
            <c:symbol val="none"/>
          </c:marker>
          <c:cat>
            <c:numRef>
              <c:f>Data!$I$84:$M$84</c:f>
              <c:numCache>
                <c:formatCode>[$-409]mmm\-yy;@</c:formatCode>
                <c:ptCount val="5"/>
              </c:numCache>
            </c:numRef>
          </c:cat>
          <c:val>
            <c:numRef>
              <c:f>Data!$I$103:$M$103</c:f>
              <c:numCache>
                <c:formatCode>0.0%</c:formatCode>
                <c:ptCount val="5"/>
                <c:pt idx="0">
                  <c:v>0.41779359625167778</c:v>
                </c:pt>
                <c:pt idx="1">
                  <c:v>0.38233247727810865</c:v>
                </c:pt>
                <c:pt idx="2">
                  <c:v>0.37817768109034722</c:v>
                </c:pt>
                <c:pt idx="3">
                  <c:v>0.38343718820007905</c:v>
                </c:pt>
                <c:pt idx="4">
                  <c:v>0</c:v>
                </c:pt>
              </c:numCache>
            </c:numRef>
          </c:val>
          <c:smooth val="0"/>
          <c:extLst>
            <c:ext xmlns:c16="http://schemas.microsoft.com/office/drawing/2014/chart" uri="{C3380CC4-5D6E-409C-BE32-E72D297353CC}">
              <c16:uniqueId val="{00000000-39CB-4DA3-AF3D-923BA24EBF1E}"/>
            </c:ext>
          </c:extLst>
        </c:ser>
        <c:ser>
          <c:idx val="0"/>
          <c:order val="1"/>
          <c:tx>
            <c:v>Qtr PreTax Profit on Sales</c:v>
          </c:tx>
          <c:spPr>
            <a:ln w="38100">
              <a:solidFill>
                <a:srgbClr val="000080"/>
              </a:solidFill>
              <a:prstDash val="solid"/>
            </a:ln>
          </c:spPr>
          <c:marker>
            <c:symbol val="none"/>
          </c:marker>
          <c:cat>
            <c:numRef>
              <c:f>Data!$I$84:$M$84</c:f>
              <c:numCache>
                <c:formatCode>[$-409]mmm\-yy;@</c:formatCode>
                <c:ptCount val="5"/>
              </c:numCache>
            </c:numRef>
          </c:cat>
          <c:val>
            <c:numRef>
              <c:f>Data!$I$100:$M$100</c:f>
              <c:numCache>
                <c:formatCode>0.0%</c:formatCode>
                <c:ptCount val="5"/>
                <c:pt idx="0">
                  <c:v>0</c:v>
                </c:pt>
                <c:pt idx="1">
                  <c:v>0.21685882374369342</c:v>
                </c:pt>
                <c:pt idx="2">
                  <c:v>0.21238094505984456</c:v>
                </c:pt>
                <c:pt idx="3">
                  <c:v>0.21615994277000697</c:v>
                </c:pt>
                <c:pt idx="4">
                  <c:v>0</c:v>
                </c:pt>
              </c:numCache>
            </c:numRef>
          </c:val>
          <c:smooth val="0"/>
          <c:extLst>
            <c:ext xmlns:c16="http://schemas.microsoft.com/office/drawing/2014/chart" uri="{C3380CC4-5D6E-409C-BE32-E72D297353CC}">
              <c16:uniqueId val="{00000001-39CB-4DA3-AF3D-923BA24EBF1E}"/>
            </c:ext>
          </c:extLst>
        </c:ser>
        <c:dLbls>
          <c:showLegendKey val="0"/>
          <c:showVal val="0"/>
          <c:showCatName val="0"/>
          <c:showSerName val="0"/>
          <c:showPercent val="0"/>
          <c:showBubbleSize val="0"/>
        </c:dLbls>
        <c:smooth val="0"/>
        <c:axId val="212936192"/>
        <c:axId val="212937728"/>
      </c:lineChart>
      <c:catAx>
        <c:axId val="212936192"/>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937728"/>
        <c:crosses val="autoZero"/>
        <c:auto val="0"/>
        <c:lblAlgn val="ctr"/>
        <c:lblOffset val="100"/>
        <c:tickLblSkip val="1"/>
        <c:tickMarkSkip val="1"/>
        <c:noMultiLvlLbl val="0"/>
      </c:catAx>
      <c:valAx>
        <c:axId val="2129377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936192"/>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6366065464261856"/>
          <c:y val="0.87892376681614348"/>
          <c:w val="0.67334669338678022"/>
          <c:h val="5.3811659192825184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40556660039761738"/>
          <c:y val="3.6630015842614612E-2"/>
        </c:manualLayout>
      </c:layout>
      <c:overlay val="0"/>
      <c:spPr>
        <a:noFill/>
        <a:ln w="25400">
          <a:noFill/>
        </a:ln>
      </c:spPr>
    </c:title>
    <c:autoTitleDeleted val="0"/>
    <c:plotArea>
      <c:layout>
        <c:manualLayout>
          <c:layoutTarget val="inner"/>
          <c:xMode val="edge"/>
          <c:yMode val="edge"/>
          <c:x val="6.7594433399602513E-2"/>
          <c:y val="0.13919413919414128"/>
          <c:w val="0.88667992047713762"/>
          <c:h val="0.69963369963370914"/>
        </c:manualLayout>
      </c:layout>
      <c:lineChart>
        <c:grouping val="standard"/>
        <c:varyColors val="0"/>
        <c:ser>
          <c:idx val="1"/>
          <c:order val="0"/>
          <c:tx>
            <c:v>Change in Sales/Revenues</c:v>
          </c:tx>
          <c:spPr>
            <a:ln w="38100">
              <a:solidFill>
                <a:srgbClr val="00FF00"/>
              </a:solidFill>
              <a:prstDash val="solid"/>
            </a:ln>
          </c:spPr>
          <c:marker>
            <c:symbol val="none"/>
          </c:marker>
          <c:cat>
            <c:numRef>
              <c:f>Data!$I$3:$M$3</c:f>
              <c:numCache>
                <c:formatCode>[$-409]d\-mmm\-yy;@</c:formatCode>
                <c:ptCount val="5"/>
              </c:numCache>
            </c:numRef>
          </c:cat>
          <c:val>
            <c:numRef>
              <c:f>Data!$I$41:$M$41</c:f>
              <c:numCache>
                <c:formatCode>0.00%</c:formatCode>
                <c:ptCount val="5"/>
                <c:pt idx="1">
                  <c:v>0</c:v>
                </c:pt>
                <c:pt idx="2">
                  <c:v>-2.04107758052674E-2</c:v>
                </c:pt>
                <c:pt idx="3">
                  <c:v>5.5120803769784787E-2</c:v>
                </c:pt>
                <c:pt idx="4">
                  <c:v>0.33259384733074682</c:v>
                </c:pt>
              </c:numCache>
            </c:numRef>
          </c:val>
          <c:smooth val="0"/>
          <c:extLst>
            <c:ext xmlns:c16="http://schemas.microsoft.com/office/drawing/2014/chart" uri="{C3380CC4-5D6E-409C-BE32-E72D297353CC}">
              <c16:uniqueId val="{00000000-9E65-433D-94DC-5C0A82C32B64}"/>
            </c:ext>
          </c:extLst>
        </c:ser>
        <c:ser>
          <c:idx val="0"/>
          <c:order val="1"/>
          <c:tx>
            <c:v>Change in Asset Growth</c:v>
          </c:tx>
          <c:spPr>
            <a:ln w="38100">
              <a:solidFill>
                <a:srgbClr val="FF00FF"/>
              </a:solidFill>
              <a:prstDash val="solid"/>
            </a:ln>
          </c:spPr>
          <c:marker>
            <c:symbol val="none"/>
          </c:marker>
          <c:cat>
            <c:numRef>
              <c:f>Data!$I$3:$M$3</c:f>
              <c:numCache>
                <c:formatCode>[$-409]d\-mmm\-yy;@</c:formatCode>
                <c:ptCount val="5"/>
              </c:numCache>
            </c:numRef>
          </c:cat>
          <c:val>
            <c:numRef>
              <c:f>Data!$I$18:$M$18</c:f>
              <c:numCache>
                <c:formatCode>0.00%</c:formatCode>
                <c:ptCount val="5"/>
                <c:pt idx="1">
                  <c:v>-7.4397429762799949E-2</c:v>
                </c:pt>
                <c:pt idx="2">
                  <c:v>-4.3212137683300011E-2</c:v>
                </c:pt>
                <c:pt idx="3">
                  <c:v>8.3714123400681739E-2</c:v>
                </c:pt>
                <c:pt idx="4">
                  <c:v>4.994273536902849E-3</c:v>
                </c:pt>
              </c:numCache>
            </c:numRef>
          </c:val>
          <c:smooth val="0"/>
          <c:extLst>
            <c:ext xmlns:c16="http://schemas.microsoft.com/office/drawing/2014/chart" uri="{C3380CC4-5D6E-409C-BE32-E72D297353CC}">
              <c16:uniqueId val="{00000001-9E65-433D-94DC-5C0A82C32B64}"/>
            </c:ext>
          </c:extLst>
        </c:ser>
        <c:dLbls>
          <c:showLegendKey val="0"/>
          <c:showVal val="0"/>
          <c:showCatName val="0"/>
          <c:showSerName val="0"/>
          <c:showPercent val="0"/>
          <c:showBubbleSize val="0"/>
        </c:dLbls>
        <c:smooth val="0"/>
        <c:axId val="213017344"/>
        <c:axId val="213018880"/>
      </c:lineChart>
      <c:catAx>
        <c:axId val="213017344"/>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018880"/>
        <c:crosses val="autoZero"/>
        <c:auto val="1"/>
        <c:lblAlgn val="ctr"/>
        <c:lblOffset val="100"/>
        <c:tickLblSkip val="1"/>
        <c:tickMarkSkip val="1"/>
        <c:noMultiLvlLbl val="1"/>
      </c:catAx>
      <c:valAx>
        <c:axId val="213018880"/>
        <c:scaling>
          <c:orientation val="minMax"/>
        </c:scaling>
        <c:delete val="1"/>
        <c:axPos val="l"/>
        <c:majorGridlines>
          <c:spPr>
            <a:ln w="3175">
              <a:solidFill>
                <a:srgbClr val="000000"/>
              </a:solidFill>
              <a:prstDash val="solid"/>
            </a:ln>
          </c:spPr>
        </c:majorGridlines>
        <c:numFmt formatCode="_(* #,##0_);_(* \(#,##0\);_(* &quot;-&quot;??_);_(@_)" sourceLinked="1"/>
        <c:majorTickMark val="out"/>
        <c:minorTickMark val="none"/>
        <c:tickLblPos val="none"/>
        <c:crossAx val="21301734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9.7415506958250506E-2"/>
          <c:y val="0.92792792792792556"/>
          <c:w val="0.80914512922465209"/>
          <c:h val="5.8558558558558467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818181818182006"/>
          <c:y val="3.6630062497793478E-2"/>
        </c:manualLayout>
      </c:layout>
      <c:overlay val="0"/>
      <c:spPr>
        <a:noFill/>
        <a:ln w="25400">
          <a:noFill/>
        </a:ln>
      </c:spPr>
    </c:title>
    <c:autoTitleDeleted val="0"/>
    <c:plotArea>
      <c:layout>
        <c:manualLayout>
          <c:layoutTarget val="inner"/>
          <c:xMode val="edge"/>
          <c:yMode val="edge"/>
          <c:x val="9.8814229249013733E-3"/>
          <c:y val="0.13919413919414128"/>
          <c:w val="0.91304347826086962"/>
          <c:h val="0.69963369963370914"/>
        </c:manualLayout>
      </c:layout>
      <c:lineChart>
        <c:grouping val="standard"/>
        <c:varyColors val="0"/>
        <c:ser>
          <c:idx val="1"/>
          <c:order val="0"/>
          <c:tx>
            <c:v>Change in Sales/Revenues</c:v>
          </c:tx>
          <c:spPr>
            <a:ln w="38100">
              <a:solidFill>
                <a:srgbClr val="00FF00"/>
              </a:solidFill>
              <a:prstDash val="solid"/>
            </a:ln>
          </c:spPr>
          <c:marker>
            <c:symbol val="none"/>
          </c:marker>
          <c:cat>
            <c:numRef>
              <c:f>Data!$I$84:$M$84</c:f>
              <c:numCache>
                <c:formatCode>[$-409]mmm\-yy;@</c:formatCode>
                <c:ptCount val="5"/>
              </c:numCache>
            </c:numRef>
          </c:cat>
          <c:val>
            <c:numRef>
              <c:f>Data!$I$98:$M$98</c:f>
              <c:numCache>
                <c:formatCode>0.0%</c:formatCode>
                <c:ptCount val="5"/>
                <c:pt idx="1">
                  <c:v>-0.24958380829759141</c:v>
                </c:pt>
                <c:pt idx="2">
                  <c:v>-5.2241225433947158E-2</c:v>
                </c:pt>
                <c:pt idx="3">
                  <c:v>2.0836055870302239E-2</c:v>
                </c:pt>
                <c:pt idx="4">
                  <c:v>0</c:v>
                </c:pt>
              </c:numCache>
            </c:numRef>
          </c:val>
          <c:smooth val="0"/>
          <c:extLst>
            <c:ext xmlns:c16="http://schemas.microsoft.com/office/drawing/2014/chart" uri="{C3380CC4-5D6E-409C-BE32-E72D297353CC}">
              <c16:uniqueId val="{00000000-146B-4BE6-88FB-00079D5999BE}"/>
            </c:ext>
          </c:extLst>
        </c:ser>
        <c:ser>
          <c:idx val="2"/>
          <c:order val="1"/>
          <c:tx>
            <c:v>Change in Asset Growth</c:v>
          </c:tx>
          <c:spPr>
            <a:ln w="38100">
              <a:solidFill>
                <a:srgbClr val="FF00FF"/>
              </a:solidFill>
              <a:prstDash val="solid"/>
            </a:ln>
          </c:spPr>
          <c:marker>
            <c:symbol val="none"/>
          </c:marker>
          <c:cat>
            <c:numRef>
              <c:f>Data!$I$84:$M$84</c:f>
              <c:numCache>
                <c:formatCode>[$-409]mmm\-yy;@</c:formatCode>
                <c:ptCount val="5"/>
              </c:numCache>
            </c:numRef>
          </c:cat>
          <c:val>
            <c:numRef>
              <c:f>Data!$I$116:$M$116</c:f>
              <c:numCache>
                <c:formatCode>0.0%</c:formatCode>
                <c:ptCount val="5"/>
                <c:pt idx="1">
                  <c:v>-4.2022081902440833E-3</c:v>
                </c:pt>
                <c:pt idx="2">
                  <c:v>6.5835533537037527E-2</c:v>
                </c:pt>
                <c:pt idx="3">
                  <c:v>0.13294552336949339</c:v>
                </c:pt>
                <c:pt idx="4">
                  <c:v>-0.19334352870365257</c:v>
                </c:pt>
              </c:numCache>
            </c:numRef>
          </c:val>
          <c:smooth val="0"/>
          <c:extLst>
            <c:ext xmlns:c16="http://schemas.microsoft.com/office/drawing/2014/chart" uri="{C3380CC4-5D6E-409C-BE32-E72D297353CC}">
              <c16:uniqueId val="{00000001-146B-4BE6-88FB-00079D5999BE}"/>
            </c:ext>
          </c:extLst>
        </c:ser>
        <c:dLbls>
          <c:showLegendKey val="0"/>
          <c:showVal val="0"/>
          <c:showCatName val="0"/>
          <c:showSerName val="0"/>
          <c:showPercent val="0"/>
          <c:showBubbleSize val="0"/>
        </c:dLbls>
        <c:smooth val="0"/>
        <c:axId val="213052416"/>
        <c:axId val="213201664"/>
      </c:lineChart>
      <c:catAx>
        <c:axId val="213052416"/>
        <c:scaling>
          <c:orientation val="minMax"/>
        </c:scaling>
        <c:delete val="0"/>
        <c:axPos val="b"/>
        <c:numFmt formatCode="[$-409]mmm\-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201664"/>
        <c:crosses val="autoZero"/>
        <c:auto val="1"/>
        <c:lblAlgn val="ctr"/>
        <c:lblOffset val="100"/>
        <c:tickLblSkip val="1"/>
        <c:tickMarkSkip val="1"/>
        <c:noMultiLvlLbl val="1"/>
      </c:catAx>
      <c:valAx>
        <c:axId val="213201664"/>
        <c:scaling>
          <c:orientation val="minMax"/>
        </c:scaling>
        <c:delete val="0"/>
        <c:axPos val="r"/>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052416"/>
        <c:crosses val="max"/>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b"/>
      <c:layout>
        <c:manualLayout>
          <c:xMode val="edge"/>
          <c:yMode val="edge"/>
          <c:x val="8.1027667984190227E-2"/>
          <c:y val="0.92825112107622942"/>
          <c:w val="0.80434782608695654"/>
          <c:h val="5.8295964125560484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FIVE YEARS ANNUAL DATA</a:t>
            </a:r>
          </a:p>
        </c:rich>
      </c:tx>
      <c:layout>
        <c:manualLayout>
          <c:xMode val="edge"/>
          <c:yMode val="edge"/>
          <c:x val="0.40594103644021229"/>
          <c:y val="3.6629921259842518E-2"/>
        </c:manualLayout>
      </c:layout>
      <c:overlay val="0"/>
      <c:spPr>
        <a:noFill/>
        <a:ln w="25400">
          <a:noFill/>
        </a:ln>
      </c:spPr>
    </c:title>
    <c:autoTitleDeleted val="0"/>
    <c:plotArea>
      <c:layout>
        <c:manualLayout>
          <c:layoutTarget val="inner"/>
          <c:xMode val="edge"/>
          <c:yMode val="edge"/>
          <c:x val="9.7674529517770725E-2"/>
          <c:y val="0.16309012875536491"/>
          <c:w val="0.87209401355154037"/>
          <c:h val="0.58369098712446355"/>
        </c:manualLayout>
      </c:layout>
      <c:lineChart>
        <c:grouping val="standard"/>
        <c:varyColors val="0"/>
        <c:ser>
          <c:idx val="1"/>
          <c:order val="0"/>
          <c:tx>
            <c:v>Long-term Debt</c:v>
          </c:tx>
          <c:spPr>
            <a:ln w="38100">
              <a:solidFill>
                <a:srgbClr val="FF00FF"/>
              </a:solidFill>
              <a:prstDash val="solid"/>
            </a:ln>
          </c:spPr>
          <c:marker>
            <c:symbol val="none"/>
          </c:marker>
          <c:cat>
            <c:numRef>
              <c:f>Data!$I$3:$M$3</c:f>
              <c:numCache>
                <c:formatCode>[$-409]d\-mmm\-yy;@</c:formatCode>
                <c:ptCount val="5"/>
              </c:numCache>
            </c:numRef>
          </c:cat>
          <c:val>
            <c:numRef>
              <c:f>Data!$I$30:$M$30</c:f>
              <c:numCache>
                <c:formatCode>_(* #,##0_);_(* \(#,##0\);_(* "-"??_);_(@_)</c:formatCode>
                <c:ptCount val="5"/>
                <c:pt idx="0">
                  <c:v>93735</c:v>
                </c:pt>
                <c:pt idx="1">
                  <c:v>91807</c:v>
                </c:pt>
                <c:pt idx="2">
                  <c:v>98667</c:v>
                </c:pt>
                <c:pt idx="3">
                  <c:v>109106</c:v>
                </c:pt>
                <c:pt idx="4">
                  <c:v>98959</c:v>
                </c:pt>
              </c:numCache>
            </c:numRef>
          </c:val>
          <c:smooth val="0"/>
          <c:extLst>
            <c:ext xmlns:c16="http://schemas.microsoft.com/office/drawing/2014/chart" uri="{C3380CC4-5D6E-409C-BE32-E72D297353CC}">
              <c16:uniqueId val="{00000000-01F1-4D80-A777-2BDC4FE4FAE9}"/>
            </c:ext>
          </c:extLst>
        </c:ser>
        <c:dLbls>
          <c:showLegendKey val="0"/>
          <c:showVal val="0"/>
          <c:showCatName val="0"/>
          <c:showSerName val="0"/>
          <c:showPercent val="0"/>
          <c:showBubbleSize val="0"/>
        </c:dLbls>
        <c:smooth val="0"/>
        <c:axId val="213214720"/>
        <c:axId val="213216256"/>
      </c:lineChart>
      <c:catAx>
        <c:axId val="213214720"/>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216256"/>
        <c:crosses val="autoZero"/>
        <c:auto val="1"/>
        <c:lblAlgn val="ctr"/>
        <c:lblOffset val="100"/>
        <c:tickLblSkip val="1"/>
        <c:tickMarkSkip val="1"/>
        <c:noMultiLvlLbl val="1"/>
      </c:catAx>
      <c:valAx>
        <c:axId val="2132162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214720"/>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27209302325581397"/>
          <c:y val="0.86363636363636354"/>
          <c:w val="0.46511627906977043"/>
          <c:h val="9.0909090909091064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40476280742685106"/>
          <c:y val="3.6900023860653795E-2"/>
        </c:manualLayout>
      </c:layout>
      <c:overlay val="0"/>
      <c:spPr>
        <a:noFill/>
        <a:ln w="25400">
          <a:noFill/>
        </a:ln>
      </c:spPr>
    </c:title>
    <c:autoTitleDeleted val="0"/>
    <c:plotArea>
      <c:layout>
        <c:manualLayout>
          <c:layoutTarget val="inner"/>
          <c:xMode val="edge"/>
          <c:yMode val="edge"/>
          <c:x val="0.18518560380860236"/>
          <c:y val="0.16386588240604191"/>
          <c:w val="0.78009435604374533"/>
          <c:h val="0.56722805448245162"/>
        </c:manualLayout>
      </c:layout>
      <c:lineChart>
        <c:grouping val="standard"/>
        <c:varyColors val="0"/>
        <c:ser>
          <c:idx val="0"/>
          <c:order val="0"/>
          <c:tx>
            <c:v>Return on Assets (ROA)</c:v>
          </c:tx>
          <c:spPr>
            <a:ln w="38100">
              <a:solidFill>
                <a:srgbClr val="000080"/>
              </a:solidFill>
              <a:prstDash val="solid"/>
            </a:ln>
          </c:spPr>
          <c:marker>
            <c:symbol val="none"/>
          </c:marker>
          <c:cat>
            <c:numRef>
              <c:f>Data!$I$3:$M$3</c:f>
              <c:numCache>
                <c:formatCode>[$-409]d\-mmm\-yy;@</c:formatCode>
                <c:ptCount val="5"/>
              </c:numCache>
            </c:numRef>
          </c:cat>
          <c:val>
            <c:numRef>
              <c:f>Data!$I$19:$M$19</c:f>
              <c:numCache>
                <c:formatCode>0.0%</c:formatCode>
                <c:ptCount val="5"/>
                <c:pt idx="0">
                  <c:v>0</c:v>
                </c:pt>
                <c:pt idx="1">
                  <c:v>0.17585874818324687</c:v>
                </c:pt>
                <c:pt idx="2">
                  <c:v>0.17060218347082942</c:v>
                </c:pt>
                <c:pt idx="3">
                  <c:v>0.16356317058022463</c:v>
                </c:pt>
                <c:pt idx="4">
                  <c:v>0.26840158183441765</c:v>
                </c:pt>
              </c:numCache>
            </c:numRef>
          </c:val>
          <c:smooth val="0"/>
          <c:extLst>
            <c:ext xmlns:c16="http://schemas.microsoft.com/office/drawing/2014/chart" uri="{C3380CC4-5D6E-409C-BE32-E72D297353CC}">
              <c16:uniqueId val="{00000000-BC51-40A7-9A60-360B993EF2FA}"/>
            </c:ext>
          </c:extLst>
        </c:ser>
        <c:ser>
          <c:idx val="1"/>
          <c:order val="1"/>
          <c:tx>
            <c:v>Return on Equity (ROE)</c:v>
          </c:tx>
          <c:spPr>
            <a:ln w="38100">
              <a:solidFill>
                <a:srgbClr val="FF00FF"/>
              </a:solidFill>
              <a:prstDash val="solid"/>
            </a:ln>
          </c:spPr>
          <c:marker>
            <c:symbol val="none"/>
          </c:marker>
          <c:val>
            <c:numRef>
              <c:f>Data!$I$21:$M$21</c:f>
              <c:numCache>
                <c:formatCode>0%</c:formatCode>
                <c:ptCount val="5"/>
                <c:pt idx="0">
                  <c:v>0</c:v>
                </c:pt>
                <c:pt idx="1">
                  <c:v>0.65788833878525332</c:v>
                </c:pt>
                <c:pt idx="2">
                  <c:v>0.84568175209293073</c:v>
                </c:pt>
                <c:pt idx="3">
                  <c:v>0.90998573466476462</c:v>
                </c:pt>
                <c:pt idx="4">
                  <c:v>1.8684875276286708</c:v>
                </c:pt>
              </c:numCache>
            </c:numRef>
          </c:val>
          <c:smooth val="0"/>
          <c:extLst>
            <c:ext xmlns:c16="http://schemas.microsoft.com/office/drawing/2014/chart" uri="{C3380CC4-5D6E-409C-BE32-E72D297353CC}">
              <c16:uniqueId val="{00000001-BC51-40A7-9A60-360B993EF2FA}"/>
            </c:ext>
          </c:extLst>
        </c:ser>
        <c:ser>
          <c:idx val="2"/>
          <c:order val="2"/>
          <c:tx>
            <c:v>Return on Capital (ROC)</c:v>
          </c:tx>
          <c:spPr>
            <a:ln w="38100">
              <a:solidFill>
                <a:srgbClr val="FFFF00"/>
              </a:solidFill>
              <a:prstDash val="solid"/>
            </a:ln>
          </c:spPr>
          <c:marker>
            <c:symbol val="none"/>
          </c:marker>
          <c:val>
            <c:numRef>
              <c:f>Data!$I$38:$M$38</c:f>
              <c:numCache>
                <c:formatCode>0%</c:formatCode>
                <c:ptCount val="5"/>
                <c:pt idx="0">
                  <c:v>0</c:v>
                </c:pt>
                <c:pt idx="1">
                  <c:v>0.65788833878525332</c:v>
                </c:pt>
                <c:pt idx="2">
                  <c:v>0.84568175209293073</c:v>
                </c:pt>
                <c:pt idx="3">
                  <c:v>0.90998573466476462</c:v>
                </c:pt>
                <c:pt idx="4">
                  <c:v>1.8684875276286708</c:v>
                </c:pt>
              </c:numCache>
            </c:numRef>
          </c:val>
          <c:smooth val="0"/>
          <c:extLst>
            <c:ext xmlns:c16="http://schemas.microsoft.com/office/drawing/2014/chart" uri="{C3380CC4-5D6E-409C-BE32-E72D297353CC}">
              <c16:uniqueId val="{00000002-BC51-40A7-9A60-360B993EF2FA}"/>
            </c:ext>
          </c:extLst>
        </c:ser>
        <c:dLbls>
          <c:showLegendKey val="0"/>
          <c:showVal val="0"/>
          <c:showCatName val="0"/>
          <c:showSerName val="0"/>
          <c:showPercent val="0"/>
          <c:showBubbleSize val="0"/>
        </c:dLbls>
        <c:smooth val="0"/>
        <c:axId val="213545344"/>
        <c:axId val="213546880"/>
      </c:lineChart>
      <c:catAx>
        <c:axId val="213545344"/>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546880"/>
        <c:crosses val="autoZero"/>
        <c:auto val="1"/>
        <c:lblAlgn val="ctr"/>
        <c:lblOffset val="100"/>
        <c:tickLblSkip val="1"/>
        <c:tickMarkSkip val="1"/>
        <c:noMultiLvlLbl val="1"/>
      </c:catAx>
      <c:valAx>
        <c:axId val="2135468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54534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1.6203703703703703E-2"/>
          <c:y val="0.87272727272727635"/>
          <c:w val="0.97453703703703698"/>
          <c:h val="9.0909090909091064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Narrow"/>
              <a:ea typeface="Arial Narrow"/>
              <a:cs typeface="Arial Narrow"/>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881201624739153"/>
          <c:y val="3.6764495347172514E-2"/>
        </c:manualLayout>
      </c:layout>
      <c:overlay val="0"/>
      <c:spPr>
        <a:noFill/>
        <a:ln w="25400">
          <a:noFill/>
        </a:ln>
      </c:spPr>
    </c:title>
    <c:autoTitleDeleted val="0"/>
    <c:plotArea>
      <c:layout>
        <c:manualLayout>
          <c:layoutTarget val="inner"/>
          <c:xMode val="edge"/>
          <c:yMode val="edge"/>
          <c:x val="0.10672853828306272"/>
          <c:y val="0.16949152542372881"/>
          <c:w val="0.84686774941995357"/>
          <c:h val="0.55508474576270139"/>
        </c:manualLayout>
      </c:layout>
      <c:lineChart>
        <c:grouping val="standard"/>
        <c:varyColors val="0"/>
        <c:ser>
          <c:idx val="0"/>
          <c:order val="0"/>
          <c:tx>
            <c:v>Return on Assets (ROA)</c:v>
          </c:tx>
          <c:spPr>
            <a:ln w="38100">
              <a:solidFill>
                <a:srgbClr val="000080"/>
              </a:solidFill>
              <a:prstDash val="solid"/>
            </a:ln>
          </c:spPr>
          <c:marker>
            <c:symbol val="none"/>
          </c:marker>
          <c:cat>
            <c:numRef>
              <c:f>Data!$I$84:$M$84</c:f>
              <c:numCache>
                <c:formatCode>[$-409]mmm\-yy;@</c:formatCode>
                <c:ptCount val="5"/>
              </c:numCache>
            </c:numRef>
          </c:cat>
          <c:val>
            <c:numRef>
              <c:f>Data!$I$122:$M$122</c:f>
              <c:numCache>
                <c:formatCode>_(* #,##0.0000_);_(* \(#,##0.0000\);_(* "-"??_);_(@_)</c:formatCode>
                <c:ptCount val="5"/>
                <c:pt idx="0">
                  <c:v>0.69923562645397142</c:v>
                </c:pt>
                <c:pt idx="1">
                  <c:v>0.42578391527485243</c:v>
                </c:pt>
                <c:pt idx="2">
                  <c:v>0.38448852922143439</c:v>
                </c:pt>
                <c:pt idx="3">
                  <c:v>0.36562686172989639</c:v>
                </c:pt>
                <c:pt idx="4">
                  <c:v>0</c:v>
                </c:pt>
              </c:numCache>
            </c:numRef>
          </c:val>
          <c:smooth val="0"/>
          <c:extLst>
            <c:ext xmlns:c16="http://schemas.microsoft.com/office/drawing/2014/chart" uri="{C3380CC4-5D6E-409C-BE32-E72D297353CC}">
              <c16:uniqueId val="{00000000-1DA8-4321-BC84-B26672DBDD2B}"/>
            </c:ext>
          </c:extLst>
        </c:ser>
        <c:ser>
          <c:idx val="1"/>
          <c:order val="1"/>
          <c:tx>
            <c:v>Return on Equity (ROE)</c:v>
          </c:tx>
          <c:spPr>
            <a:ln w="38100">
              <a:solidFill>
                <a:srgbClr val="FF00FF"/>
              </a:solidFill>
              <a:prstDash val="solid"/>
            </a:ln>
          </c:spPr>
          <c:marker>
            <c:symbol val="none"/>
          </c:marker>
          <c:cat>
            <c:numRef>
              <c:f>Data!$I$84:$M$84</c:f>
              <c:numCache>
                <c:formatCode>[$-409]mmm\-yy;@</c:formatCode>
                <c:ptCount val="5"/>
              </c:numCache>
            </c:numRef>
          </c:cat>
          <c:val>
            <c:numRef>
              <c:f>Data!$I$123:$M$123</c:f>
              <c:numCache>
                <c:formatCode>_(* #,##0.00_);_(* \(#,##0.00\);_(* "-"??_);_(@_)</c:formatCode>
                <c:ptCount val="5"/>
                <c:pt idx="0">
                  <c:v>33594.569032430743</c:v>
                </c:pt>
                <c:pt idx="1">
                  <c:v>21181.223557984216</c:v>
                </c:pt>
                <c:pt idx="2">
                  <c:v>21300.822165789948</c:v>
                </c:pt>
                <c:pt idx="3">
                  <c:v>24190.508550916824</c:v>
                </c:pt>
                <c:pt idx="4">
                  <c:v>0</c:v>
                </c:pt>
              </c:numCache>
            </c:numRef>
          </c:val>
          <c:smooth val="0"/>
          <c:extLst>
            <c:ext xmlns:c16="http://schemas.microsoft.com/office/drawing/2014/chart" uri="{C3380CC4-5D6E-409C-BE32-E72D297353CC}">
              <c16:uniqueId val="{00000001-1DA8-4321-BC84-B26672DBDD2B}"/>
            </c:ext>
          </c:extLst>
        </c:ser>
        <c:ser>
          <c:idx val="2"/>
          <c:order val="2"/>
          <c:tx>
            <c:v>Return on Capital (ROC)</c:v>
          </c:tx>
          <c:spPr>
            <a:ln w="38100">
              <a:solidFill>
                <a:srgbClr val="FFFF00"/>
              </a:solidFill>
              <a:prstDash val="solid"/>
            </a:ln>
          </c:spPr>
          <c:marker>
            <c:symbol val="none"/>
          </c:marker>
          <c:cat>
            <c:numRef>
              <c:f>Data!$I$84:$M$84</c:f>
              <c:numCache>
                <c:formatCode>[$-409]mmm\-yy;@</c:formatCode>
                <c:ptCount val="5"/>
              </c:numCache>
            </c:numRef>
          </c:cat>
          <c:val>
            <c:numRef>
              <c:f>Data!$C$115:$G$115</c:f>
              <c:numCache>
                <c:formatCode>#,##0.00</c:formatCode>
                <c:ptCount val="5"/>
              </c:numCache>
            </c:numRef>
          </c:val>
          <c:smooth val="0"/>
          <c:extLst>
            <c:ext xmlns:c16="http://schemas.microsoft.com/office/drawing/2014/chart" uri="{C3380CC4-5D6E-409C-BE32-E72D297353CC}">
              <c16:uniqueId val="{00000002-1DA8-4321-BC84-B26672DBDD2B}"/>
            </c:ext>
          </c:extLst>
        </c:ser>
        <c:dLbls>
          <c:showLegendKey val="0"/>
          <c:showVal val="0"/>
          <c:showCatName val="0"/>
          <c:showSerName val="0"/>
          <c:showPercent val="0"/>
          <c:showBubbleSize val="0"/>
        </c:dLbls>
        <c:smooth val="0"/>
        <c:axId val="213581184"/>
        <c:axId val="213652608"/>
      </c:lineChart>
      <c:catAx>
        <c:axId val="213581184"/>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652608"/>
        <c:crosses val="autoZero"/>
        <c:auto val="1"/>
        <c:lblAlgn val="ctr"/>
        <c:lblOffset val="100"/>
        <c:tickLblSkip val="1"/>
        <c:tickMarkSkip val="1"/>
        <c:noMultiLvlLbl val="1"/>
      </c:catAx>
      <c:valAx>
        <c:axId val="213652608"/>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58118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egendEntry>
        <c:idx val="2"/>
        <c:delete val="1"/>
      </c:legendEntry>
      <c:layout>
        <c:manualLayout>
          <c:xMode val="edge"/>
          <c:yMode val="edge"/>
          <c:x val="0.21345707656612697"/>
          <c:y val="0.83636363636363664"/>
          <c:w val="0.72157772621810112"/>
          <c:h val="0.15000000000000024"/>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818182910202814"/>
          <c:y val="3.6496181220590666E-2"/>
        </c:manualLayout>
      </c:layout>
      <c:overlay val="0"/>
      <c:spPr>
        <a:noFill/>
        <a:ln w="25400">
          <a:noFill/>
        </a:ln>
      </c:spPr>
    </c:title>
    <c:autoTitleDeleted val="0"/>
    <c:plotArea>
      <c:layout>
        <c:manualLayout>
          <c:layoutTarget val="inner"/>
          <c:xMode val="edge"/>
          <c:yMode val="edge"/>
          <c:x val="0.20137299771167047"/>
          <c:y val="0.1709408843352902"/>
          <c:w val="0.75972540045767833"/>
          <c:h val="0.57692548463160065"/>
        </c:manualLayout>
      </c:layout>
      <c:lineChart>
        <c:grouping val="standard"/>
        <c:varyColors val="0"/>
        <c:ser>
          <c:idx val="1"/>
          <c:order val="0"/>
          <c:tx>
            <c:v>Long-term Debt</c:v>
          </c:tx>
          <c:spPr>
            <a:ln w="38100">
              <a:solidFill>
                <a:srgbClr val="FF00FF"/>
              </a:solidFill>
              <a:prstDash val="solid"/>
            </a:ln>
          </c:spPr>
          <c:marker>
            <c:symbol val="none"/>
          </c:marker>
          <c:cat>
            <c:numRef>
              <c:f>Data!$I$84:$M$84</c:f>
              <c:numCache>
                <c:formatCode>[$-409]mmm\-yy;@</c:formatCode>
                <c:ptCount val="5"/>
              </c:numCache>
            </c:numRef>
          </c:cat>
          <c:val>
            <c:numRef>
              <c:f>Data!$I$118:$M$118</c:f>
              <c:numCache>
                <c:formatCode>#,##0.00</c:formatCode>
                <c:ptCount val="5"/>
                <c:pt idx="0">
                  <c:v>93735</c:v>
                </c:pt>
                <c:pt idx="1">
                  <c:v>91807</c:v>
                </c:pt>
                <c:pt idx="2">
                  <c:v>98667</c:v>
                </c:pt>
                <c:pt idx="3">
                  <c:v>109106</c:v>
                </c:pt>
                <c:pt idx="4">
                  <c:v>98959</c:v>
                </c:pt>
              </c:numCache>
            </c:numRef>
          </c:val>
          <c:smooth val="0"/>
          <c:extLst>
            <c:ext xmlns:c16="http://schemas.microsoft.com/office/drawing/2014/chart" uri="{C3380CC4-5D6E-409C-BE32-E72D297353CC}">
              <c16:uniqueId val="{00000000-55A8-4EF1-A649-63D17D069C12}"/>
            </c:ext>
          </c:extLst>
        </c:ser>
        <c:dLbls>
          <c:showLegendKey val="0"/>
          <c:showVal val="0"/>
          <c:showCatName val="0"/>
          <c:showSerName val="0"/>
          <c:showPercent val="0"/>
          <c:showBubbleSize val="0"/>
        </c:dLbls>
        <c:smooth val="0"/>
        <c:axId val="213677184"/>
        <c:axId val="213678720"/>
      </c:lineChart>
      <c:catAx>
        <c:axId val="213677184"/>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678720"/>
        <c:crosses val="autoZero"/>
        <c:auto val="1"/>
        <c:lblAlgn val="ctr"/>
        <c:lblOffset val="100"/>
        <c:tickLblSkip val="1"/>
        <c:tickMarkSkip val="1"/>
        <c:noMultiLvlLbl val="1"/>
      </c:catAx>
      <c:valAx>
        <c:axId val="21367872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67718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45537757437071164"/>
          <c:y val="0.87387387387388127"/>
          <c:w val="0.51945080091533158"/>
          <c:h val="9.0090090090091043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31013916500994038"/>
          <c:y val="5.4974047526570397E-2"/>
        </c:manualLayout>
      </c:layout>
      <c:overlay val="0"/>
      <c:spPr>
        <a:noFill/>
        <a:ln w="25400">
          <a:noFill/>
        </a:ln>
      </c:spPr>
    </c:title>
    <c:autoTitleDeleted val="0"/>
    <c:plotArea>
      <c:layout>
        <c:manualLayout>
          <c:layoutTarget val="inner"/>
          <c:xMode val="edge"/>
          <c:yMode val="edge"/>
          <c:x val="7.7534791252486357E-2"/>
          <c:y val="0.16386003319091838"/>
          <c:w val="0.88270377733598404"/>
          <c:h val="0.59169567929569344"/>
        </c:manualLayout>
      </c:layout>
      <c:lineChart>
        <c:grouping val="standard"/>
        <c:varyColors val="0"/>
        <c:ser>
          <c:idx val="0"/>
          <c:order val="0"/>
          <c:tx>
            <c:v>Net Cashflow Income</c:v>
          </c:tx>
          <c:spPr>
            <a:ln w="38100">
              <a:solidFill>
                <a:srgbClr val="000080"/>
              </a:solidFill>
              <a:prstDash val="solid"/>
            </a:ln>
          </c:spPr>
          <c:marker>
            <c:symbol val="none"/>
          </c:marker>
          <c:cat>
            <c:numRef>
              <c:f>Data!$I$3:$M$3</c:f>
              <c:numCache>
                <c:formatCode>[$-409]d\-mmm\-yy;@</c:formatCode>
                <c:ptCount val="5"/>
              </c:numCache>
            </c:numRef>
          </c:cat>
          <c:val>
            <c:numRef>
              <c:f>Data!$I$65:$M$65</c:f>
              <c:numCache>
                <c:formatCode>_(* #,##0.00_);_(* \(#,##0.00\);_(* "-"??_);_(@_)</c:formatCode>
                <c:ptCount val="5"/>
                <c:pt idx="0">
                  <c:v>6.5399387733293102</c:v>
                </c:pt>
                <c:pt idx="1">
                  <c:v>4.9172274234445092</c:v>
                </c:pt>
                <c:pt idx="2">
                  <c:v>4.0813913820889551</c:v>
                </c:pt>
                <c:pt idx="3">
                  <c:v>4.3568333989759749</c:v>
                </c:pt>
                <c:pt idx="4">
                  <c:v>0</c:v>
                </c:pt>
              </c:numCache>
            </c:numRef>
          </c:val>
          <c:smooth val="0"/>
          <c:extLst>
            <c:ext xmlns:c16="http://schemas.microsoft.com/office/drawing/2014/chart" uri="{C3380CC4-5D6E-409C-BE32-E72D297353CC}">
              <c16:uniqueId val="{00000000-47C3-4335-B11E-1DE76902E6C3}"/>
            </c:ext>
          </c:extLst>
        </c:ser>
        <c:ser>
          <c:idx val="1"/>
          <c:order val="1"/>
          <c:tx>
            <c:v>Net Income from Operations</c:v>
          </c:tx>
          <c:spPr>
            <a:ln w="38100">
              <a:solidFill>
                <a:srgbClr val="FF00FF"/>
              </a:solidFill>
              <a:prstDash val="solid"/>
            </a:ln>
          </c:spPr>
          <c:marker>
            <c:symbol val="none"/>
          </c:marker>
          <c:cat>
            <c:numRef>
              <c:f>Data!$I$3:$M$3</c:f>
              <c:numCache>
                <c:formatCode>[$-409]d\-mmm\-yy;@</c:formatCode>
                <c:ptCount val="5"/>
              </c:numCache>
            </c:numRef>
          </c:cat>
          <c:val>
            <c:numRef>
              <c:f>Data!$I$63:$M$63</c:f>
              <c:numCache>
                <c:formatCode>#,##0</c:formatCode>
                <c:ptCount val="5"/>
                <c:pt idx="0">
                  <c:v>0</c:v>
                </c:pt>
                <c:pt idx="1">
                  <c:v>59531</c:v>
                </c:pt>
                <c:pt idx="2">
                  <c:v>55256</c:v>
                </c:pt>
                <c:pt idx="3">
                  <c:v>57411</c:v>
                </c:pt>
                <c:pt idx="4">
                  <c:v>94680</c:v>
                </c:pt>
              </c:numCache>
            </c:numRef>
          </c:val>
          <c:smooth val="0"/>
          <c:extLst>
            <c:ext xmlns:c16="http://schemas.microsoft.com/office/drawing/2014/chart" uri="{C3380CC4-5D6E-409C-BE32-E72D297353CC}">
              <c16:uniqueId val="{00000001-47C3-4335-B11E-1DE76902E6C3}"/>
            </c:ext>
          </c:extLst>
        </c:ser>
        <c:dLbls>
          <c:showLegendKey val="0"/>
          <c:showVal val="0"/>
          <c:showCatName val="0"/>
          <c:showSerName val="0"/>
          <c:showPercent val="0"/>
          <c:showBubbleSize val="0"/>
        </c:dLbls>
        <c:smooth val="0"/>
        <c:axId val="190648704"/>
        <c:axId val="190650240"/>
      </c:lineChart>
      <c:catAx>
        <c:axId val="190648704"/>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190650240"/>
        <c:crosses val="autoZero"/>
        <c:auto val="1"/>
        <c:lblAlgn val="ctr"/>
        <c:lblOffset val="100"/>
        <c:tickLblSkip val="1"/>
        <c:tickMarkSkip val="1"/>
        <c:noMultiLvlLbl val="1"/>
      </c:catAx>
      <c:valAx>
        <c:axId val="190650240"/>
        <c:scaling>
          <c:orientation val="minMax"/>
        </c:scaling>
        <c:delete val="1"/>
        <c:axPos val="l"/>
        <c:majorGridlines>
          <c:spPr>
            <a:ln w="3175">
              <a:solidFill>
                <a:srgbClr val="000000"/>
              </a:solidFill>
              <a:prstDash val="solid"/>
            </a:ln>
          </c:spPr>
        </c:majorGridlines>
        <c:numFmt formatCode="_(* #,##0.00_);_(* \(#,##0.00\);_(* &quot;-&quot;??_);_(@_)" sourceLinked="1"/>
        <c:majorTickMark val="out"/>
        <c:minorTickMark val="none"/>
        <c:tickLblPos val="nextTo"/>
        <c:crossAx val="19064870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3916500994035785"/>
          <c:y val="0.89237668161434958"/>
          <c:w val="0.75347912524851268"/>
          <c:h val="8.0717488789237762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22" r="0.75000000000000822"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746094238220607"/>
          <c:y val="3.6900543682039842E-2"/>
        </c:manualLayout>
      </c:layout>
      <c:overlay val="0"/>
      <c:spPr>
        <a:noFill/>
        <a:ln w="25400">
          <a:noFill/>
        </a:ln>
      </c:spPr>
    </c:title>
    <c:autoTitleDeleted val="0"/>
    <c:plotArea>
      <c:layout>
        <c:manualLayout>
          <c:layoutTarget val="inner"/>
          <c:xMode val="edge"/>
          <c:yMode val="edge"/>
          <c:x val="9.9206349206350228E-2"/>
          <c:y val="0.14391143911439672"/>
          <c:w val="0.85714285714285765"/>
          <c:h val="0.6125461254612462"/>
        </c:manualLayout>
      </c:layout>
      <c:lineChart>
        <c:grouping val="standard"/>
        <c:varyColors val="0"/>
        <c:ser>
          <c:idx val="0"/>
          <c:order val="0"/>
          <c:tx>
            <c:v>Net Cashflow Income</c:v>
          </c:tx>
          <c:spPr>
            <a:ln w="38100">
              <a:solidFill>
                <a:srgbClr val="000080"/>
              </a:solidFill>
              <a:prstDash val="solid"/>
            </a:ln>
          </c:spPr>
          <c:marker>
            <c:symbol val="none"/>
          </c:marker>
          <c:cat>
            <c:numRef>
              <c:f>Data!$I$84:$M$84</c:f>
              <c:numCache>
                <c:formatCode>[$-409]mmm\-yy;@</c:formatCode>
                <c:ptCount val="5"/>
              </c:numCache>
            </c:numRef>
          </c:cat>
          <c:val>
            <c:numRef>
              <c:f>Data!$C$91:$G$91</c:f>
              <c:numCache>
                <c:formatCode>#,##0.00</c:formatCode>
                <c:ptCount val="5"/>
              </c:numCache>
            </c:numRef>
          </c:val>
          <c:smooth val="0"/>
          <c:extLst>
            <c:ext xmlns:c16="http://schemas.microsoft.com/office/drawing/2014/chart" uri="{C3380CC4-5D6E-409C-BE32-E72D297353CC}">
              <c16:uniqueId val="{00000000-529E-486F-8299-4FF88BBA3333}"/>
            </c:ext>
          </c:extLst>
        </c:ser>
        <c:ser>
          <c:idx val="1"/>
          <c:order val="1"/>
          <c:tx>
            <c:v>Net Income from Operations</c:v>
          </c:tx>
          <c:spPr>
            <a:ln w="38100">
              <a:solidFill>
                <a:srgbClr val="FF00FF"/>
              </a:solidFill>
              <a:prstDash val="solid"/>
            </a:ln>
          </c:spPr>
          <c:marker>
            <c:symbol val="none"/>
          </c:marker>
          <c:cat>
            <c:numRef>
              <c:f>Data!$I$84:$M$84</c:f>
              <c:numCache>
                <c:formatCode>[$-409]mmm\-yy;@</c:formatCode>
                <c:ptCount val="5"/>
              </c:numCache>
            </c:numRef>
          </c:cat>
          <c:val>
            <c:numRef>
              <c:f>Data!$C$97:$G$97</c:f>
              <c:numCache>
                <c:formatCode>#,##0.00</c:formatCode>
                <c:ptCount val="5"/>
                <c:pt idx="0">
                  <c:v>94680</c:v>
                </c:pt>
                <c:pt idx="1">
                  <c:v>57411</c:v>
                </c:pt>
                <c:pt idx="2">
                  <c:v>55256</c:v>
                </c:pt>
                <c:pt idx="3">
                  <c:v>59531</c:v>
                </c:pt>
                <c:pt idx="4">
                  <c:v>0</c:v>
                </c:pt>
              </c:numCache>
            </c:numRef>
          </c:val>
          <c:smooth val="0"/>
          <c:extLst>
            <c:ext xmlns:c16="http://schemas.microsoft.com/office/drawing/2014/chart" uri="{C3380CC4-5D6E-409C-BE32-E72D297353CC}">
              <c16:uniqueId val="{00000001-529E-486F-8299-4FF88BBA3333}"/>
            </c:ext>
          </c:extLst>
        </c:ser>
        <c:dLbls>
          <c:showLegendKey val="0"/>
          <c:showVal val="0"/>
          <c:showCatName val="0"/>
          <c:showSerName val="0"/>
          <c:showPercent val="0"/>
          <c:showBubbleSize val="0"/>
        </c:dLbls>
        <c:smooth val="0"/>
        <c:axId val="190683392"/>
        <c:axId val="190685184"/>
      </c:lineChart>
      <c:catAx>
        <c:axId val="190683392"/>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190685184"/>
        <c:crosses val="autoZero"/>
        <c:auto val="1"/>
        <c:lblAlgn val="ctr"/>
        <c:lblOffset val="100"/>
        <c:tickLblSkip val="1"/>
        <c:tickMarkSkip val="1"/>
        <c:noMultiLvlLbl val="1"/>
      </c:catAx>
      <c:valAx>
        <c:axId val="190685184"/>
        <c:scaling>
          <c:orientation val="minMax"/>
        </c:scaling>
        <c:delete val="1"/>
        <c:axPos val="l"/>
        <c:majorGridlines>
          <c:spPr>
            <a:ln w="3175">
              <a:solidFill>
                <a:srgbClr val="000000"/>
              </a:solidFill>
              <a:prstDash val="solid"/>
            </a:ln>
          </c:spPr>
        </c:majorGridlines>
        <c:numFmt formatCode="#,##0.00" sourceLinked="1"/>
        <c:majorTickMark val="out"/>
        <c:minorTickMark val="none"/>
        <c:tickLblPos val="nextTo"/>
        <c:crossAx val="190683392"/>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21031746031746232"/>
          <c:y val="0.8883928571428571"/>
          <c:w val="0.75992063492063822"/>
          <c:h val="8.0357142857143224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FIVE YEARS ANNUAL DATA</a:t>
            </a:r>
          </a:p>
        </c:rich>
      </c:tx>
      <c:layout>
        <c:manualLayout>
          <c:xMode val="edge"/>
          <c:yMode val="edge"/>
          <c:x val="0.40400000000000008"/>
          <c:y val="3.6629964822861891E-2"/>
        </c:manualLayout>
      </c:layout>
      <c:overlay val="0"/>
      <c:spPr>
        <a:noFill/>
        <a:ln w="25400">
          <a:noFill/>
        </a:ln>
      </c:spPr>
    </c:title>
    <c:autoTitleDeleted val="0"/>
    <c:plotArea>
      <c:layout>
        <c:manualLayout>
          <c:layoutTarget val="inner"/>
          <c:xMode val="edge"/>
          <c:yMode val="edge"/>
          <c:x val="3.0000000000000002E-2"/>
          <c:y val="0.17948717948718224"/>
          <c:w val="0.93600000000000005"/>
          <c:h val="0.57875457875458824"/>
        </c:manualLayout>
      </c:layout>
      <c:lineChart>
        <c:grouping val="standard"/>
        <c:varyColors val="0"/>
        <c:ser>
          <c:idx val="0"/>
          <c:order val="0"/>
          <c:tx>
            <c:v>Revenue</c:v>
          </c:tx>
          <c:spPr>
            <a:ln w="38100">
              <a:solidFill>
                <a:srgbClr val="008000"/>
              </a:solidFill>
              <a:prstDash val="solid"/>
            </a:ln>
          </c:spPr>
          <c:marker>
            <c:symbol val="none"/>
          </c:marker>
          <c:cat>
            <c:numRef>
              <c:f>Data!$I$3:$M$3</c:f>
              <c:numCache>
                <c:formatCode>[$-409]d\-mmm\-yy;@</c:formatCode>
                <c:ptCount val="5"/>
              </c:numCache>
            </c:numRef>
          </c:cat>
          <c:val>
            <c:numRef>
              <c:f>Data!$I$39:$M$39</c:f>
              <c:numCache>
                <c:formatCode>_(* #,##0_);_(* \(#,##0\);_(* "-"??_);_(@_)</c:formatCode>
                <c:ptCount val="5"/>
                <c:pt idx="0">
                  <c:v>0</c:v>
                </c:pt>
                <c:pt idx="1">
                  <c:v>265595</c:v>
                </c:pt>
                <c:pt idx="2">
                  <c:v>260174</c:v>
                </c:pt>
                <c:pt idx="3">
                  <c:v>274515</c:v>
                </c:pt>
                <c:pt idx="4">
                  <c:v>365817</c:v>
                </c:pt>
              </c:numCache>
            </c:numRef>
          </c:val>
          <c:smooth val="0"/>
          <c:extLst>
            <c:ext xmlns:c16="http://schemas.microsoft.com/office/drawing/2014/chart" uri="{C3380CC4-5D6E-409C-BE32-E72D297353CC}">
              <c16:uniqueId val="{00000000-B169-4651-9A01-17972C90973E}"/>
            </c:ext>
          </c:extLst>
        </c:ser>
        <c:ser>
          <c:idx val="1"/>
          <c:order val="1"/>
          <c:tx>
            <c:v>Cost of Sales</c:v>
          </c:tx>
          <c:spPr>
            <a:ln w="38100">
              <a:solidFill>
                <a:srgbClr val="FF00FF"/>
              </a:solidFill>
              <a:prstDash val="solid"/>
            </a:ln>
          </c:spPr>
          <c:marker>
            <c:symbol val="none"/>
          </c:marker>
          <c:cat>
            <c:numRef>
              <c:f>Data!$I$3:$M$3</c:f>
              <c:numCache>
                <c:formatCode>[$-409]d\-mmm\-yy;@</c:formatCode>
                <c:ptCount val="5"/>
              </c:numCache>
            </c:numRef>
          </c:cat>
          <c:val>
            <c:numRef>
              <c:f>Data!$I$42:$M$42</c:f>
              <c:numCache>
                <c:formatCode>#,##0</c:formatCode>
                <c:ptCount val="5"/>
                <c:pt idx="0">
                  <c:v>0</c:v>
                </c:pt>
                <c:pt idx="1">
                  <c:v>163756</c:v>
                </c:pt>
                <c:pt idx="2">
                  <c:v>161782</c:v>
                </c:pt>
                <c:pt idx="3">
                  <c:v>169559</c:v>
                </c:pt>
                <c:pt idx="4">
                  <c:v>212981</c:v>
                </c:pt>
              </c:numCache>
            </c:numRef>
          </c:val>
          <c:smooth val="0"/>
          <c:extLst>
            <c:ext xmlns:c16="http://schemas.microsoft.com/office/drawing/2014/chart" uri="{C3380CC4-5D6E-409C-BE32-E72D297353CC}">
              <c16:uniqueId val="{00000001-B169-4651-9A01-17972C90973E}"/>
            </c:ext>
          </c:extLst>
        </c:ser>
        <c:ser>
          <c:idx val="2"/>
          <c:order val="2"/>
          <c:tx>
            <c:v>PP&amp;E</c:v>
          </c:tx>
          <c:spPr>
            <a:ln w="38100">
              <a:solidFill>
                <a:srgbClr val="FFFF00"/>
              </a:solidFill>
              <a:prstDash val="solid"/>
            </a:ln>
          </c:spPr>
          <c:marker>
            <c:symbol val="none"/>
          </c:marker>
          <c:cat>
            <c:numRef>
              <c:f>Data!$I$3:$M$3</c:f>
              <c:numCache>
                <c:formatCode>[$-409]d\-mmm\-yy;@</c:formatCode>
                <c:ptCount val="5"/>
              </c:numCache>
            </c:numRef>
          </c:cat>
          <c:val>
            <c:numRef>
              <c:f>Data!$I$22:$M$22</c:f>
              <c:numCache>
                <c:formatCode>#,##0</c:formatCode>
                <c:ptCount val="5"/>
                <c:pt idx="0">
                  <c:v>41304</c:v>
                </c:pt>
                <c:pt idx="1">
                  <c:v>37378</c:v>
                </c:pt>
                <c:pt idx="2">
                  <c:v>36766</c:v>
                </c:pt>
                <c:pt idx="3">
                  <c:v>39440</c:v>
                </c:pt>
                <c:pt idx="4">
                  <c:v>42117</c:v>
                </c:pt>
              </c:numCache>
            </c:numRef>
          </c:val>
          <c:smooth val="0"/>
          <c:extLst>
            <c:ext xmlns:c16="http://schemas.microsoft.com/office/drawing/2014/chart" uri="{C3380CC4-5D6E-409C-BE32-E72D297353CC}">
              <c16:uniqueId val="{00000002-B169-4651-9A01-17972C90973E}"/>
            </c:ext>
          </c:extLst>
        </c:ser>
        <c:dLbls>
          <c:showLegendKey val="0"/>
          <c:showVal val="0"/>
          <c:showCatName val="0"/>
          <c:showSerName val="0"/>
          <c:showPercent val="0"/>
          <c:showBubbleSize val="0"/>
        </c:dLbls>
        <c:smooth val="0"/>
        <c:axId val="212319616"/>
        <c:axId val="212018304"/>
      </c:lineChart>
      <c:catAx>
        <c:axId val="212319616"/>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018304"/>
        <c:crosses val="autoZero"/>
        <c:auto val="1"/>
        <c:lblAlgn val="ctr"/>
        <c:lblOffset val="100"/>
        <c:tickLblSkip val="1"/>
        <c:tickMarkSkip val="1"/>
        <c:noMultiLvlLbl val="1"/>
      </c:catAx>
      <c:valAx>
        <c:axId val="212018304"/>
        <c:scaling>
          <c:orientation val="minMax"/>
        </c:scaling>
        <c:delete val="1"/>
        <c:axPos val="l"/>
        <c:majorGridlines>
          <c:spPr>
            <a:ln w="3175">
              <a:solidFill>
                <a:srgbClr val="000000"/>
              </a:solidFill>
              <a:prstDash val="solid"/>
            </a:ln>
          </c:spPr>
        </c:majorGridlines>
        <c:numFmt formatCode="_(* #,##0_);_(* \(#,##0\);_(* &quot;-&quot;??_);_(@_)" sourceLinked="1"/>
        <c:majorTickMark val="out"/>
        <c:minorTickMark val="none"/>
        <c:tickLblPos val="none"/>
        <c:crossAx val="212319616"/>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b"/>
      <c:layout>
        <c:manualLayout>
          <c:xMode val="edge"/>
          <c:yMode val="edge"/>
          <c:x val="7.8000000000000014E-2"/>
          <c:y val="0.8827836769366485"/>
          <c:w val="0.83800000000000063"/>
          <c:h val="8.058592261029697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66" r="0.75000000000000566"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33068866391701035"/>
          <c:y val="3.7313460817397823E-2"/>
        </c:manualLayout>
      </c:layout>
      <c:overlay val="0"/>
      <c:spPr>
        <a:noFill/>
        <a:ln w="25400">
          <a:noFill/>
        </a:ln>
      </c:spPr>
    </c:title>
    <c:autoTitleDeleted val="0"/>
    <c:plotArea>
      <c:layout>
        <c:manualLayout>
          <c:layoutTarget val="inner"/>
          <c:xMode val="edge"/>
          <c:yMode val="edge"/>
          <c:x val="0.1091269841269861"/>
          <c:y val="0.14800995024875618"/>
          <c:w val="0.7361111111111116"/>
          <c:h val="0.62810945273632646"/>
        </c:manualLayout>
      </c:layout>
      <c:lineChart>
        <c:grouping val="standard"/>
        <c:varyColors val="0"/>
        <c:ser>
          <c:idx val="1"/>
          <c:order val="0"/>
          <c:tx>
            <c:v>Earnings Confidence Rating</c:v>
          </c:tx>
          <c:spPr>
            <a:ln w="38100">
              <a:solidFill>
                <a:srgbClr val="FFFF00"/>
              </a:solidFill>
              <a:prstDash val="solid"/>
            </a:ln>
          </c:spPr>
          <c:marker>
            <c:symbol val="none"/>
          </c:marker>
          <c:cat>
            <c:numLit>
              <c:formatCode>General</c:formatCode>
              <c:ptCount val="5"/>
            </c:numLit>
          </c:cat>
          <c:val>
            <c:numLit>
              <c:formatCode>General</c:formatCode>
              <c:ptCount val="5"/>
              <c:pt idx="0">
                <c:v>0</c:v>
              </c:pt>
              <c:pt idx="1">
                <c:v>0</c:v>
              </c:pt>
              <c:pt idx="2">
                <c:v>-3.2890625</c:v>
              </c:pt>
              <c:pt idx="3">
                <c:v>-1.0139049826187718</c:v>
              </c:pt>
              <c:pt idx="4">
                <c:v>0.77749999999999997</c:v>
              </c:pt>
            </c:numLit>
          </c:val>
          <c:smooth val="0"/>
          <c:extLst>
            <c:ext xmlns:c16="http://schemas.microsoft.com/office/drawing/2014/chart" uri="{C3380CC4-5D6E-409C-BE32-E72D297353CC}">
              <c16:uniqueId val="{00000000-B919-45A1-B945-341585FDFDBB}"/>
            </c:ext>
          </c:extLst>
        </c:ser>
        <c:dLbls>
          <c:showLegendKey val="0"/>
          <c:showVal val="0"/>
          <c:showCatName val="0"/>
          <c:showSerName val="0"/>
          <c:showPercent val="0"/>
          <c:showBubbleSize val="0"/>
        </c:dLbls>
        <c:smooth val="0"/>
        <c:axId val="213472000"/>
        <c:axId val="213473536"/>
      </c:lineChart>
      <c:catAx>
        <c:axId val="213472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473536"/>
        <c:crosses val="autoZero"/>
        <c:auto val="1"/>
        <c:lblAlgn val="ctr"/>
        <c:lblOffset val="100"/>
        <c:tickLblSkip val="1"/>
        <c:tickMarkSkip val="1"/>
        <c:noMultiLvlLbl val="1"/>
      </c:catAx>
      <c:valAx>
        <c:axId val="213473536"/>
        <c:scaling>
          <c:orientation val="minMax"/>
        </c:scaling>
        <c:delete val="1"/>
        <c:axPos val="l"/>
        <c:majorGridlines>
          <c:spPr>
            <a:ln w="3175">
              <a:solidFill>
                <a:srgbClr val="000000"/>
              </a:solidFill>
              <a:prstDash val="solid"/>
            </a:ln>
          </c:spPr>
        </c:majorGridlines>
        <c:numFmt formatCode="0.0" sourceLinked="0"/>
        <c:majorTickMark val="out"/>
        <c:minorTickMark val="none"/>
        <c:tickLblPos val="nextTo"/>
        <c:crossAx val="213472000"/>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b"/>
      <c:layout>
        <c:manualLayout>
          <c:xMode val="edge"/>
          <c:yMode val="edge"/>
          <c:x val="0.24801587301587324"/>
          <c:y val="0.88805961754781082"/>
          <c:w val="0.52182539682539764"/>
          <c:h val="8.2089426321709749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33" r="0.75000000000000833"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88120890829278"/>
          <c:y val="3.7174728158980132E-2"/>
        </c:manualLayout>
      </c:layout>
      <c:overlay val="0"/>
      <c:spPr>
        <a:noFill/>
        <a:ln w="25400">
          <a:noFill/>
        </a:ln>
      </c:spPr>
    </c:title>
    <c:autoTitleDeleted val="0"/>
    <c:plotArea>
      <c:layout>
        <c:manualLayout>
          <c:layoutTarget val="inner"/>
          <c:xMode val="edge"/>
          <c:yMode val="edge"/>
          <c:x val="0.10891089108910891"/>
          <c:y val="0.14869888475836693"/>
          <c:w val="0.85742574257425763"/>
          <c:h val="0.6394052044609666"/>
        </c:manualLayout>
      </c:layout>
      <c:lineChart>
        <c:grouping val="standard"/>
        <c:varyColors val="0"/>
        <c:ser>
          <c:idx val="1"/>
          <c:order val="0"/>
          <c:tx>
            <c:v>Earnings Confidence Rating</c:v>
          </c:tx>
          <c:spPr>
            <a:ln w="38100">
              <a:solidFill>
                <a:srgbClr val="FFFF00"/>
              </a:solidFill>
              <a:prstDash val="solid"/>
            </a:ln>
          </c:spPr>
          <c:marker>
            <c:symbol val="none"/>
          </c:marker>
          <c:cat>
            <c:numLit>
              <c:formatCode>General</c:formatCode>
              <c:ptCount val="5"/>
            </c:numLit>
          </c:cat>
          <c:val>
            <c:numLit>
              <c:formatCode>General</c:formatCode>
              <c:ptCount val="5"/>
              <c:pt idx="0">
                <c:v>0</c:v>
              </c:pt>
              <c:pt idx="1">
                <c:v>0</c:v>
              </c:pt>
              <c:pt idx="2">
                <c:v>0</c:v>
              </c:pt>
              <c:pt idx="3">
                <c:v>0</c:v>
              </c:pt>
              <c:pt idx="4">
                <c:v>0</c:v>
              </c:pt>
            </c:numLit>
          </c:val>
          <c:smooth val="0"/>
          <c:extLst>
            <c:ext xmlns:c16="http://schemas.microsoft.com/office/drawing/2014/chart" uri="{C3380CC4-5D6E-409C-BE32-E72D297353CC}">
              <c16:uniqueId val="{00000000-0EA3-4071-8C75-F04F80D8C2D2}"/>
            </c:ext>
          </c:extLst>
        </c:ser>
        <c:dLbls>
          <c:showLegendKey val="0"/>
          <c:showVal val="0"/>
          <c:showCatName val="0"/>
          <c:showSerName val="0"/>
          <c:showPercent val="0"/>
          <c:showBubbleSize val="0"/>
        </c:dLbls>
        <c:smooth val="0"/>
        <c:axId val="213498112"/>
        <c:axId val="213508096"/>
      </c:lineChart>
      <c:catAx>
        <c:axId val="213498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508096"/>
        <c:crosses val="autoZero"/>
        <c:auto val="1"/>
        <c:lblAlgn val="ctr"/>
        <c:lblOffset val="100"/>
        <c:tickLblSkip val="1"/>
        <c:tickMarkSkip val="1"/>
        <c:noMultiLvlLbl val="1"/>
      </c:catAx>
      <c:valAx>
        <c:axId val="213508096"/>
        <c:scaling>
          <c:orientation val="minMax"/>
        </c:scaling>
        <c:delete val="1"/>
        <c:axPos val="l"/>
        <c:majorGridlines>
          <c:spPr>
            <a:ln w="3175">
              <a:solidFill>
                <a:srgbClr val="000000"/>
              </a:solidFill>
              <a:prstDash val="solid"/>
            </a:ln>
          </c:spPr>
        </c:majorGridlines>
        <c:numFmt formatCode="0.0" sourceLinked="0"/>
        <c:majorTickMark val="out"/>
        <c:minorTickMark val="none"/>
        <c:tickLblPos val="nextTo"/>
        <c:crossAx val="213498112"/>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27524752475247527"/>
          <c:y val="0.90625"/>
          <c:w val="0.47722772277227732"/>
          <c:h val="8.0357142857143224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32539765862600506"/>
          <c:y val="3.7037194674989948E-2"/>
        </c:manualLayout>
      </c:layout>
      <c:overlay val="0"/>
      <c:spPr>
        <a:noFill/>
        <a:ln w="25400">
          <a:noFill/>
        </a:ln>
      </c:spPr>
    </c:title>
    <c:autoTitleDeleted val="0"/>
    <c:plotArea>
      <c:layout>
        <c:manualLayout>
          <c:layoutTarget val="inner"/>
          <c:xMode val="edge"/>
          <c:yMode val="edge"/>
          <c:x val="2.9761904761904791E-2"/>
          <c:y val="0.17407407407407408"/>
          <c:w val="0.93253968253969033"/>
          <c:h val="0.60370370370370374"/>
        </c:manualLayout>
      </c:layout>
      <c:lineChart>
        <c:grouping val="standard"/>
        <c:varyColors val="0"/>
        <c:ser>
          <c:idx val="0"/>
          <c:order val="0"/>
          <c:tx>
            <c:v>Net Income</c:v>
          </c:tx>
          <c:spPr>
            <a:ln w="38100">
              <a:solidFill>
                <a:srgbClr val="000080"/>
              </a:solidFill>
              <a:prstDash val="solid"/>
            </a:ln>
          </c:spPr>
          <c:marker>
            <c:symbol val="none"/>
          </c:marker>
          <c:cat>
            <c:numRef>
              <c:f>Data!$I$3:$M$3</c:f>
              <c:numCache>
                <c:formatCode>[$-409]d\-mmm\-yy;@</c:formatCode>
                <c:ptCount val="5"/>
              </c:numCache>
            </c:numRef>
          </c:cat>
          <c:val>
            <c:numRef>
              <c:f>Data!$I$49:$M$49</c:f>
              <c:numCache>
                <c:formatCode>#,##0</c:formatCode>
                <c:ptCount val="5"/>
                <c:pt idx="0">
                  <c:v>0</c:v>
                </c:pt>
                <c:pt idx="1">
                  <c:v>59531</c:v>
                </c:pt>
                <c:pt idx="2">
                  <c:v>55256</c:v>
                </c:pt>
                <c:pt idx="3">
                  <c:v>57411</c:v>
                </c:pt>
                <c:pt idx="4">
                  <c:v>94680</c:v>
                </c:pt>
              </c:numCache>
            </c:numRef>
          </c:val>
          <c:smooth val="0"/>
          <c:extLst>
            <c:ext xmlns:c16="http://schemas.microsoft.com/office/drawing/2014/chart" uri="{C3380CC4-5D6E-409C-BE32-E72D297353CC}">
              <c16:uniqueId val="{00000000-EDB8-4412-8335-B391574CEF99}"/>
            </c:ext>
          </c:extLst>
        </c:ser>
        <c:ser>
          <c:idx val="1"/>
          <c:order val="1"/>
          <c:tx>
            <c:v>Cash from Operations</c:v>
          </c:tx>
          <c:spPr>
            <a:ln w="38100">
              <a:solidFill>
                <a:srgbClr val="FFFF00"/>
              </a:solidFill>
              <a:prstDash val="solid"/>
            </a:ln>
          </c:spPr>
          <c:marker>
            <c:symbol val="none"/>
          </c:marker>
          <c:val>
            <c:numRef>
              <c:f>Data!$I$64:$M$64</c:f>
              <c:numCache>
                <c:formatCode>#,##0</c:formatCode>
                <c:ptCount val="5"/>
                <c:pt idx="0">
                  <c:v>0</c:v>
                </c:pt>
                <c:pt idx="1">
                  <c:v>77434</c:v>
                </c:pt>
                <c:pt idx="2">
                  <c:v>69391</c:v>
                </c:pt>
                <c:pt idx="3">
                  <c:v>80674</c:v>
                </c:pt>
                <c:pt idx="4">
                  <c:v>104038</c:v>
                </c:pt>
              </c:numCache>
            </c:numRef>
          </c:val>
          <c:smooth val="0"/>
          <c:extLst>
            <c:ext xmlns:c16="http://schemas.microsoft.com/office/drawing/2014/chart" uri="{C3380CC4-5D6E-409C-BE32-E72D297353CC}">
              <c16:uniqueId val="{00000001-EDB8-4412-8335-B391574CEF99}"/>
            </c:ext>
          </c:extLst>
        </c:ser>
        <c:dLbls>
          <c:showLegendKey val="0"/>
          <c:showVal val="0"/>
          <c:showCatName val="0"/>
          <c:showSerName val="0"/>
          <c:showPercent val="0"/>
          <c:showBubbleSize val="0"/>
        </c:dLbls>
        <c:smooth val="0"/>
        <c:axId val="214091264"/>
        <c:axId val="214092800"/>
      </c:lineChart>
      <c:catAx>
        <c:axId val="214091264"/>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4092800"/>
        <c:crosses val="autoZero"/>
        <c:auto val="1"/>
        <c:lblAlgn val="ctr"/>
        <c:lblOffset val="100"/>
        <c:tickLblSkip val="1"/>
        <c:tickMarkSkip val="1"/>
        <c:noMultiLvlLbl val="1"/>
      </c:catAx>
      <c:valAx>
        <c:axId val="214092800"/>
        <c:scaling>
          <c:orientation val="minMax"/>
        </c:scaling>
        <c:delete val="1"/>
        <c:axPos val="l"/>
        <c:majorGridlines>
          <c:spPr>
            <a:ln w="3175">
              <a:solidFill>
                <a:srgbClr val="000000"/>
              </a:solidFill>
              <a:prstDash val="solid"/>
            </a:ln>
          </c:spPr>
        </c:majorGridlines>
        <c:numFmt formatCode="#,##0" sourceLinked="1"/>
        <c:majorTickMark val="out"/>
        <c:minorTickMark val="none"/>
        <c:tickLblPos val="none"/>
        <c:crossAx val="21409126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b"/>
      <c:layout>
        <c:manualLayout>
          <c:xMode val="edge"/>
          <c:yMode val="edge"/>
          <c:x val="0.25"/>
          <c:y val="0.89259275023054552"/>
          <c:w val="0.59325396825396326"/>
          <c:h val="8.1481639119434179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FIVE YEARS ANNUAL DATA</a:t>
            </a:r>
          </a:p>
        </c:rich>
      </c:tx>
      <c:layout>
        <c:manualLayout>
          <c:xMode val="edge"/>
          <c:yMode val="edge"/>
          <c:x val="0.40476273799108442"/>
          <c:y val="3.7174812607883793E-2"/>
        </c:manualLayout>
      </c:layout>
      <c:overlay val="0"/>
      <c:spPr>
        <a:noFill/>
        <a:ln w="25400">
          <a:noFill/>
        </a:ln>
      </c:spPr>
    </c:title>
    <c:autoTitleDeleted val="0"/>
    <c:plotArea>
      <c:layout>
        <c:manualLayout>
          <c:layoutTarget val="inner"/>
          <c:xMode val="edge"/>
          <c:yMode val="edge"/>
          <c:x val="0.13293650793650788"/>
          <c:y val="0.14498141263940731"/>
          <c:w val="0.82539682539682535"/>
          <c:h val="0.64684014869890183"/>
        </c:manualLayout>
      </c:layout>
      <c:lineChart>
        <c:grouping val="standard"/>
        <c:varyColors val="0"/>
        <c:ser>
          <c:idx val="0"/>
          <c:order val="0"/>
          <c:tx>
            <c:v>Current Ratio</c:v>
          </c:tx>
          <c:spPr>
            <a:ln w="38100">
              <a:solidFill>
                <a:srgbClr val="000080"/>
              </a:solidFill>
              <a:prstDash val="solid"/>
            </a:ln>
          </c:spPr>
          <c:marker>
            <c:symbol val="none"/>
          </c:marker>
          <c:cat>
            <c:numRef>
              <c:f>Data!$I$3:$M$3</c:f>
              <c:numCache>
                <c:formatCode>[$-409]d\-mmm\-yy;@</c:formatCode>
                <c:ptCount val="5"/>
              </c:numCache>
            </c:numRef>
          </c:cat>
          <c:val>
            <c:numRef>
              <c:f>Data!$I$33:$M$33</c:f>
              <c:numCache>
                <c:formatCode>#,##0.00</c:formatCode>
                <c:ptCount val="5"/>
                <c:pt idx="0">
                  <c:v>1.1238426916297297</c:v>
                </c:pt>
                <c:pt idx="1">
                  <c:v>1.540125617208044</c:v>
                </c:pt>
                <c:pt idx="2">
                  <c:v>1.3636044481554577</c:v>
                </c:pt>
                <c:pt idx="3">
                  <c:v>1.0745531195957954</c:v>
                </c:pt>
                <c:pt idx="4">
                  <c:v>0.87935602862672257</c:v>
                </c:pt>
              </c:numCache>
            </c:numRef>
          </c:val>
          <c:smooth val="0"/>
          <c:extLst>
            <c:ext xmlns:c16="http://schemas.microsoft.com/office/drawing/2014/chart" uri="{C3380CC4-5D6E-409C-BE32-E72D297353CC}">
              <c16:uniqueId val="{00000000-702E-4EB0-B85F-E798E7EAA2F7}"/>
            </c:ext>
          </c:extLst>
        </c:ser>
        <c:ser>
          <c:idx val="1"/>
          <c:order val="1"/>
          <c:tx>
            <c:v>Quick Ratio</c:v>
          </c:tx>
          <c:spPr>
            <a:ln w="38100">
              <a:solidFill>
                <a:srgbClr val="FF00FF"/>
              </a:solidFill>
              <a:prstDash val="solid"/>
            </a:ln>
          </c:spPr>
          <c:marker>
            <c:symbol val="none"/>
          </c:marker>
          <c:val>
            <c:numRef>
              <c:f>Data!$I$36:$M$36</c:f>
              <c:numCache>
                <c:formatCode>#,##0.00</c:formatCode>
                <c:ptCount val="5"/>
                <c:pt idx="0">
                  <c:v>1.0899919565998666</c:v>
                </c:pt>
                <c:pt idx="1">
                  <c:v>1.501286441287198</c:v>
                </c:pt>
                <c:pt idx="2">
                  <c:v>1.325072111735236</c:v>
                </c:pt>
                <c:pt idx="3">
                  <c:v>1.0221149018576519</c:v>
                </c:pt>
                <c:pt idx="4">
                  <c:v>0.84723539114961488</c:v>
                </c:pt>
              </c:numCache>
            </c:numRef>
          </c:val>
          <c:smooth val="0"/>
          <c:extLst>
            <c:ext xmlns:c16="http://schemas.microsoft.com/office/drawing/2014/chart" uri="{C3380CC4-5D6E-409C-BE32-E72D297353CC}">
              <c16:uniqueId val="{00000001-702E-4EB0-B85F-E798E7EAA2F7}"/>
            </c:ext>
          </c:extLst>
        </c:ser>
        <c:dLbls>
          <c:showLegendKey val="0"/>
          <c:showVal val="0"/>
          <c:showCatName val="0"/>
          <c:showSerName val="0"/>
          <c:showPercent val="0"/>
          <c:showBubbleSize val="0"/>
        </c:dLbls>
        <c:smooth val="0"/>
        <c:axId val="213893888"/>
        <c:axId val="213895424"/>
      </c:lineChart>
      <c:catAx>
        <c:axId val="213893888"/>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895424"/>
        <c:crosses val="autoZero"/>
        <c:auto val="1"/>
        <c:lblAlgn val="ctr"/>
        <c:lblOffset val="100"/>
        <c:tickLblSkip val="1"/>
        <c:tickMarkSkip val="1"/>
        <c:noMultiLvlLbl val="1"/>
      </c:catAx>
      <c:valAx>
        <c:axId val="21389542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893888"/>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25396825396825584"/>
          <c:y val="0.89189189189189522"/>
          <c:w val="0.6111111111111116"/>
          <c:h val="8.108108108108103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88120890829278"/>
          <c:y val="3.7036827795628696E-2"/>
        </c:manualLayout>
      </c:layout>
      <c:overlay val="0"/>
      <c:spPr>
        <a:noFill/>
        <a:ln w="25400">
          <a:noFill/>
        </a:ln>
      </c:spPr>
    </c:title>
    <c:autoTitleDeleted val="0"/>
    <c:plotArea>
      <c:layout>
        <c:manualLayout>
          <c:layoutTarget val="inner"/>
          <c:xMode val="edge"/>
          <c:yMode val="edge"/>
          <c:x val="0.16435643564356436"/>
          <c:y val="0.14814814814814894"/>
          <c:w val="0.79207920792080044"/>
          <c:h val="0.65555555555556344"/>
        </c:manualLayout>
      </c:layout>
      <c:lineChart>
        <c:grouping val="standard"/>
        <c:varyColors val="0"/>
        <c:ser>
          <c:idx val="0"/>
          <c:order val="0"/>
          <c:tx>
            <c:v>Current Ratio</c:v>
          </c:tx>
          <c:spPr>
            <a:ln w="38100">
              <a:solidFill>
                <a:srgbClr val="000080"/>
              </a:solidFill>
              <a:prstDash val="solid"/>
            </a:ln>
          </c:spPr>
          <c:marker>
            <c:symbol val="none"/>
          </c:marker>
          <c:cat>
            <c:numRef>
              <c:f>Data!$I$84:$M$84</c:f>
              <c:numCache>
                <c:formatCode>[$-409]mmm\-yy;@</c:formatCode>
                <c:ptCount val="5"/>
              </c:numCache>
            </c:numRef>
          </c:cat>
          <c:val>
            <c:numRef>
              <c:f>Data!$I$121:$M$121</c:f>
              <c:numCache>
                <c:formatCode>_(* #,##0.00_);_(* \(#,##0.00\);_(* "-"??_);_(@_)</c:formatCode>
                <c:ptCount val="5"/>
                <c:pt idx="0">
                  <c:v>0.87935602862672257</c:v>
                </c:pt>
                <c:pt idx="1">
                  <c:v>1.0745531195957954</c:v>
                </c:pt>
                <c:pt idx="2">
                  <c:v>1.3636044481554577</c:v>
                </c:pt>
                <c:pt idx="3">
                  <c:v>1.540125617208044</c:v>
                </c:pt>
                <c:pt idx="4">
                  <c:v>1.1238426916297297</c:v>
                </c:pt>
              </c:numCache>
            </c:numRef>
          </c:val>
          <c:smooth val="0"/>
          <c:extLst>
            <c:ext xmlns:c16="http://schemas.microsoft.com/office/drawing/2014/chart" uri="{C3380CC4-5D6E-409C-BE32-E72D297353CC}">
              <c16:uniqueId val="{00000000-8AAE-4F4B-9C00-FF829BFACC9E}"/>
            </c:ext>
          </c:extLst>
        </c:ser>
        <c:ser>
          <c:idx val="1"/>
          <c:order val="1"/>
          <c:tx>
            <c:v>Quick Ratio</c:v>
          </c:tx>
          <c:spPr>
            <a:ln w="38100">
              <a:solidFill>
                <a:srgbClr val="FF00FF"/>
              </a:solidFill>
              <a:prstDash val="solid"/>
            </a:ln>
          </c:spPr>
          <c:marker>
            <c:symbol val="none"/>
          </c:marker>
          <c:cat>
            <c:numRef>
              <c:f>Data!$I$84:$M$84</c:f>
              <c:numCache>
                <c:formatCode>[$-409]mmm\-yy;@</c:formatCode>
                <c:ptCount val="5"/>
              </c:numCache>
            </c:numRef>
          </c:cat>
          <c:val>
            <c:numRef>
              <c:f>Data!$I$120:$M$120</c:f>
              <c:numCache>
                <c:formatCode>_(* #,##0.00_);_(* \(#,##0.00\);_(* "-"??_);_(@_)</c:formatCode>
                <c:ptCount val="5"/>
                <c:pt idx="0">
                  <c:v>0.84723539114961488</c:v>
                </c:pt>
                <c:pt idx="1">
                  <c:v>1.0221149018576519</c:v>
                </c:pt>
                <c:pt idx="2">
                  <c:v>1.325072111735236</c:v>
                </c:pt>
                <c:pt idx="3">
                  <c:v>1.501286441287198</c:v>
                </c:pt>
                <c:pt idx="4">
                  <c:v>1.0899919565998666</c:v>
                </c:pt>
              </c:numCache>
            </c:numRef>
          </c:val>
          <c:smooth val="0"/>
          <c:extLst>
            <c:ext xmlns:c16="http://schemas.microsoft.com/office/drawing/2014/chart" uri="{C3380CC4-5D6E-409C-BE32-E72D297353CC}">
              <c16:uniqueId val="{00000001-8AAE-4F4B-9C00-FF829BFACC9E}"/>
            </c:ext>
          </c:extLst>
        </c:ser>
        <c:dLbls>
          <c:showLegendKey val="0"/>
          <c:showVal val="0"/>
          <c:showCatName val="0"/>
          <c:showSerName val="0"/>
          <c:showPercent val="0"/>
          <c:showBubbleSize val="0"/>
        </c:dLbls>
        <c:smooth val="0"/>
        <c:axId val="213924864"/>
        <c:axId val="213930752"/>
      </c:lineChart>
      <c:catAx>
        <c:axId val="213924864"/>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930752"/>
        <c:crosses val="autoZero"/>
        <c:auto val="1"/>
        <c:lblAlgn val="ctr"/>
        <c:lblOffset val="100"/>
        <c:tickLblSkip val="1"/>
        <c:tickMarkSkip val="1"/>
        <c:noMultiLvlLbl val="1"/>
      </c:catAx>
      <c:valAx>
        <c:axId val="213930752"/>
        <c:scaling>
          <c:orientation val="minMax"/>
        </c:scaling>
        <c:delete val="0"/>
        <c:axPos val="l"/>
        <c:majorGridlines>
          <c:spPr>
            <a:ln w="3175">
              <a:solidFill>
                <a:srgbClr val="000000"/>
              </a:solidFill>
              <a:prstDash val="solid"/>
            </a:ln>
          </c:spPr>
        </c:majorGridlines>
        <c:numFmt formatCode="_(* #,##0.00_);_(* \(#,##0.0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392486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29108910891089307"/>
          <c:y val="0.90582959641255978"/>
          <c:w val="0.60198019801980263"/>
          <c:h val="8.0717488789237762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736589812501254"/>
          <c:y val="3.6496337539397655E-2"/>
        </c:manualLayout>
      </c:layout>
      <c:overlay val="0"/>
      <c:spPr>
        <a:noFill/>
        <a:ln w="25400">
          <a:noFill/>
        </a:ln>
      </c:spPr>
    </c:title>
    <c:autoTitleDeleted val="0"/>
    <c:plotArea>
      <c:layout>
        <c:manualLayout>
          <c:layoutTarget val="inner"/>
          <c:xMode val="edge"/>
          <c:yMode val="edge"/>
          <c:x val="2.994011976047949E-2"/>
          <c:y val="0.17883211678832331"/>
          <c:w val="0.93213572854291349"/>
          <c:h val="0.58029197080291006"/>
        </c:manualLayout>
      </c:layout>
      <c:lineChart>
        <c:grouping val="standard"/>
        <c:varyColors val="0"/>
        <c:ser>
          <c:idx val="0"/>
          <c:order val="0"/>
          <c:tx>
            <c:v>Revenue</c:v>
          </c:tx>
          <c:spPr>
            <a:ln w="38100">
              <a:solidFill>
                <a:srgbClr val="008000"/>
              </a:solidFill>
              <a:prstDash val="solid"/>
            </a:ln>
          </c:spPr>
          <c:marker>
            <c:symbol val="none"/>
          </c:marker>
          <c:cat>
            <c:numRef>
              <c:f>Data!$I$84:$M$84</c:f>
              <c:numCache>
                <c:formatCode>[$-409]mmm\-yy;@</c:formatCode>
                <c:ptCount val="5"/>
              </c:numCache>
            </c:numRef>
          </c:cat>
          <c:val>
            <c:numRef>
              <c:f>Data!$C$95:$G$95</c:f>
              <c:numCache>
                <c:formatCode>#,##0.00</c:formatCode>
                <c:ptCount val="5"/>
                <c:pt idx="0">
                  <c:v>365817</c:v>
                </c:pt>
                <c:pt idx="1">
                  <c:v>274515</c:v>
                </c:pt>
                <c:pt idx="2">
                  <c:v>260174</c:v>
                </c:pt>
                <c:pt idx="3">
                  <c:v>265595</c:v>
                </c:pt>
                <c:pt idx="4">
                  <c:v>0</c:v>
                </c:pt>
              </c:numCache>
            </c:numRef>
          </c:val>
          <c:smooth val="0"/>
          <c:extLst>
            <c:ext xmlns:c16="http://schemas.microsoft.com/office/drawing/2014/chart" uri="{C3380CC4-5D6E-409C-BE32-E72D297353CC}">
              <c16:uniqueId val="{00000000-B61C-4748-8365-7457420BAB3C}"/>
            </c:ext>
          </c:extLst>
        </c:ser>
        <c:ser>
          <c:idx val="1"/>
          <c:order val="1"/>
          <c:tx>
            <c:v>Cost of Sales</c:v>
          </c:tx>
          <c:spPr>
            <a:ln w="38100">
              <a:solidFill>
                <a:srgbClr val="FF00FF"/>
              </a:solidFill>
              <a:prstDash val="solid"/>
            </a:ln>
          </c:spPr>
          <c:marker>
            <c:symbol val="none"/>
          </c:marker>
          <c:cat>
            <c:numRef>
              <c:f>Data!$I$84:$M$84</c:f>
              <c:numCache>
                <c:formatCode>[$-409]mmm\-yy;@</c:formatCode>
                <c:ptCount val="5"/>
              </c:numCache>
            </c:numRef>
          </c:cat>
          <c:val>
            <c:numRef>
              <c:f>Data!$I$99:$M$99</c:f>
              <c:numCache>
                <c:formatCode>0.00</c:formatCode>
                <c:ptCount val="5"/>
                <c:pt idx="0">
                  <c:v>0</c:v>
                </c:pt>
                <c:pt idx="1">
                  <c:v>163756</c:v>
                </c:pt>
                <c:pt idx="2">
                  <c:v>161782</c:v>
                </c:pt>
                <c:pt idx="3">
                  <c:v>169559</c:v>
                </c:pt>
                <c:pt idx="4">
                  <c:v>212981</c:v>
                </c:pt>
              </c:numCache>
            </c:numRef>
          </c:val>
          <c:smooth val="0"/>
          <c:extLst>
            <c:ext xmlns:c16="http://schemas.microsoft.com/office/drawing/2014/chart" uri="{C3380CC4-5D6E-409C-BE32-E72D297353CC}">
              <c16:uniqueId val="{00000001-B61C-4748-8365-7457420BAB3C}"/>
            </c:ext>
          </c:extLst>
        </c:ser>
        <c:ser>
          <c:idx val="2"/>
          <c:order val="2"/>
          <c:tx>
            <c:v>PP&amp;E</c:v>
          </c:tx>
          <c:spPr>
            <a:ln w="38100">
              <a:solidFill>
                <a:srgbClr val="FFFF00"/>
              </a:solidFill>
              <a:prstDash val="solid"/>
            </a:ln>
          </c:spPr>
          <c:marker>
            <c:symbol val="none"/>
          </c:marker>
          <c:cat>
            <c:numRef>
              <c:f>Data!$I$84:$M$84</c:f>
              <c:numCache>
                <c:formatCode>[$-409]mmm\-yy;@</c:formatCode>
                <c:ptCount val="5"/>
              </c:numCache>
            </c:numRef>
          </c:cat>
          <c:val>
            <c:numRef>
              <c:f>Data!$I$109:$M$109</c:f>
              <c:numCache>
                <c:formatCode>_(* #,##0.00_);_(* \(#,##0.00\);_(* "-"??_);_(@_)</c:formatCode>
                <c:ptCount val="5"/>
                <c:pt idx="0">
                  <c:v>41304</c:v>
                </c:pt>
                <c:pt idx="1">
                  <c:v>37378</c:v>
                </c:pt>
                <c:pt idx="2">
                  <c:v>36766</c:v>
                </c:pt>
                <c:pt idx="3">
                  <c:v>39440</c:v>
                </c:pt>
                <c:pt idx="4">
                  <c:v>42117</c:v>
                </c:pt>
              </c:numCache>
            </c:numRef>
          </c:val>
          <c:smooth val="0"/>
          <c:extLst>
            <c:ext xmlns:c16="http://schemas.microsoft.com/office/drawing/2014/chart" uri="{C3380CC4-5D6E-409C-BE32-E72D297353CC}">
              <c16:uniqueId val="{00000002-B61C-4748-8365-7457420BAB3C}"/>
            </c:ext>
          </c:extLst>
        </c:ser>
        <c:dLbls>
          <c:showLegendKey val="0"/>
          <c:showVal val="0"/>
          <c:showCatName val="0"/>
          <c:showSerName val="0"/>
          <c:showPercent val="0"/>
          <c:showBubbleSize val="0"/>
        </c:dLbls>
        <c:smooth val="0"/>
        <c:axId val="212056704"/>
        <c:axId val="212066688"/>
      </c:lineChart>
      <c:catAx>
        <c:axId val="212056704"/>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066688"/>
        <c:crosses val="autoZero"/>
        <c:auto val="1"/>
        <c:lblAlgn val="ctr"/>
        <c:lblOffset val="100"/>
        <c:tickLblSkip val="1"/>
        <c:tickMarkSkip val="1"/>
        <c:noMultiLvlLbl val="1"/>
      </c:catAx>
      <c:valAx>
        <c:axId val="212066688"/>
        <c:scaling>
          <c:orientation val="minMax"/>
        </c:scaling>
        <c:delete val="1"/>
        <c:axPos val="l"/>
        <c:majorGridlines>
          <c:spPr>
            <a:ln w="3175">
              <a:solidFill>
                <a:srgbClr val="000000"/>
              </a:solidFill>
              <a:prstDash val="solid"/>
            </a:ln>
          </c:spPr>
        </c:majorGridlines>
        <c:numFmt formatCode="#,##0.00" sourceLinked="1"/>
        <c:majorTickMark val="out"/>
        <c:minorTickMark val="none"/>
        <c:tickLblPos val="none"/>
        <c:crossAx val="21205670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b"/>
      <c:layout>
        <c:manualLayout>
          <c:xMode val="edge"/>
          <c:yMode val="edge"/>
          <c:x val="8.1836327345309726E-2"/>
          <c:y val="0.89781043059994081"/>
          <c:w val="0.81237524950099793"/>
          <c:h val="8.029211829692838E-2"/>
        </c:manualLayout>
      </c:layout>
      <c:overlay val="0"/>
      <c:spPr>
        <a:solidFill>
          <a:schemeClr val="tx2">
            <a:lumMod val="60000"/>
            <a:lumOff val="40000"/>
          </a:schemeClr>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66" r="0.7500000000000056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40476273799108442"/>
          <c:y val="3.7930804104032455E-2"/>
        </c:manualLayout>
      </c:layout>
      <c:overlay val="0"/>
      <c:spPr>
        <a:noFill/>
        <a:ln w="25400">
          <a:noFill/>
        </a:ln>
      </c:spPr>
    </c:title>
    <c:autoTitleDeleted val="0"/>
    <c:plotArea>
      <c:layout>
        <c:manualLayout>
          <c:layoutTarget val="inner"/>
          <c:xMode val="edge"/>
          <c:yMode val="edge"/>
          <c:x val="2.9761904761904791E-2"/>
          <c:y val="0.15517241379310345"/>
          <c:w val="0.93452380952380965"/>
          <c:h val="0.60344827586206851"/>
        </c:manualLayout>
      </c:layout>
      <c:lineChart>
        <c:grouping val="standard"/>
        <c:varyColors val="0"/>
        <c:ser>
          <c:idx val="2"/>
          <c:order val="0"/>
          <c:tx>
            <c:v>Days Waiting for Payment</c:v>
          </c:tx>
          <c:spPr>
            <a:ln w="38100">
              <a:solidFill>
                <a:srgbClr val="FF9900"/>
              </a:solidFill>
              <a:prstDash val="solid"/>
            </a:ln>
          </c:spPr>
          <c:marker>
            <c:symbol val="none"/>
          </c:marker>
          <c:cat>
            <c:numRef>
              <c:f>Data!$I$3:$M$3</c:f>
              <c:numCache>
                <c:formatCode>[$-409]d\-mmm\-yy;@</c:formatCode>
                <c:ptCount val="5"/>
              </c:numCache>
            </c:numRef>
          </c:cat>
          <c:val>
            <c:numRef>
              <c:f>Data!$I$16:$M$16</c:f>
              <c:numCache>
                <c:formatCode>0</c:formatCode>
                <c:ptCount val="5"/>
                <c:pt idx="0">
                  <c:v>0</c:v>
                </c:pt>
                <c:pt idx="1">
                  <c:v>62.947194036032307</c:v>
                </c:pt>
                <c:pt idx="2">
                  <c:v>52.531863291489543</c:v>
                </c:pt>
                <c:pt idx="3">
                  <c:v>68.483288709177998</c:v>
                </c:pt>
                <c:pt idx="4">
                  <c:v>60.795917084225174</c:v>
                </c:pt>
              </c:numCache>
            </c:numRef>
          </c:val>
          <c:smooth val="0"/>
          <c:extLst>
            <c:ext xmlns:c16="http://schemas.microsoft.com/office/drawing/2014/chart" uri="{C3380CC4-5D6E-409C-BE32-E72D297353CC}">
              <c16:uniqueId val="{00000000-03B3-40AE-B9EF-A712E0318A5C}"/>
            </c:ext>
          </c:extLst>
        </c:ser>
        <c:dLbls>
          <c:showLegendKey val="0"/>
          <c:showVal val="0"/>
          <c:showCatName val="0"/>
          <c:showSerName val="0"/>
          <c:showPercent val="0"/>
          <c:showBubbleSize val="0"/>
        </c:dLbls>
        <c:smooth val="0"/>
        <c:axId val="212105856"/>
        <c:axId val="212107648"/>
      </c:lineChart>
      <c:catAx>
        <c:axId val="212105856"/>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107648"/>
        <c:crosses val="autoZero"/>
        <c:auto val="1"/>
        <c:lblAlgn val="ctr"/>
        <c:lblOffset val="100"/>
        <c:tickLblSkip val="1"/>
        <c:tickMarkSkip val="1"/>
        <c:noMultiLvlLbl val="1"/>
      </c:catAx>
      <c:valAx>
        <c:axId val="21210764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105856"/>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2103174603174655"/>
          <c:y val="0.87727272727272732"/>
          <c:w val="0.83928571428571463"/>
          <c:h val="9.0909090909091064E-2"/>
        </c:manualLayout>
      </c:layout>
      <c:overlay val="0"/>
      <c:spPr>
        <a:solidFill>
          <a:srgbClr val="00B050"/>
        </a:solidFill>
        <a:ln w="12700">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67332768662881"/>
          <c:y val="3.7800548903989852E-2"/>
        </c:manualLayout>
      </c:layout>
      <c:overlay val="0"/>
      <c:spPr>
        <a:noFill/>
        <a:ln w="25400">
          <a:noFill/>
        </a:ln>
      </c:spPr>
    </c:title>
    <c:autoTitleDeleted val="0"/>
    <c:plotArea>
      <c:layout>
        <c:manualLayout>
          <c:layoutTarget val="inner"/>
          <c:xMode val="edge"/>
          <c:yMode val="edge"/>
          <c:x val="2.9880478087649851E-2"/>
          <c:y val="0.14776632302405499"/>
          <c:w val="0.92430278884461037"/>
          <c:h val="0.61168384879725057"/>
        </c:manualLayout>
      </c:layout>
      <c:lineChart>
        <c:grouping val="standard"/>
        <c:varyColors val="0"/>
        <c:ser>
          <c:idx val="2"/>
          <c:order val="0"/>
          <c:tx>
            <c:v>Days Waiting for Payment</c:v>
          </c:tx>
          <c:spPr>
            <a:ln w="38100">
              <a:solidFill>
                <a:srgbClr val="FF9900"/>
              </a:solidFill>
              <a:prstDash val="solid"/>
            </a:ln>
          </c:spPr>
          <c:marker>
            <c:symbol val="none"/>
          </c:marker>
          <c:cat>
            <c:numRef>
              <c:f>Data!$I$84:$M$84</c:f>
              <c:numCache>
                <c:formatCode>[$-409]mmm\-yy;@</c:formatCode>
                <c:ptCount val="5"/>
              </c:numCache>
            </c:numRef>
          </c:cat>
          <c:val>
            <c:numRef>
              <c:f>Data!$I$113:$M$113</c:f>
              <c:numCache>
                <c:formatCode>0.0</c:formatCode>
                <c:ptCount val="5"/>
                <c:pt idx="0">
                  <c:v>9.5804152036730195E-4</c:v>
                </c:pt>
                <c:pt idx="1">
                  <c:v>1.0791815829309644E-3</c:v>
                </c:pt>
                <c:pt idx="2">
                  <c:v>8.2781391562501043E-4</c:v>
                </c:pt>
                <c:pt idx="3">
                  <c:v>9.9194203113326632E-4</c:v>
                </c:pt>
                <c:pt idx="4">
                  <c:v>0</c:v>
                </c:pt>
              </c:numCache>
            </c:numRef>
          </c:val>
          <c:smooth val="0"/>
          <c:extLst>
            <c:ext xmlns:c16="http://schemas.microsoft.com/office/drawing/2014/chart" uri="{C3380CC4-5D6E-409C-BE32-E72D297353CC}">
              <c16:uniqueId val="{00000000-418D-428C-8A60-D806B10A76B4}"/>
            </c:ext>
          </c:extLst>
        </c:ser>
        <c:dLbls>
          <c:showLegendKey val="0"/>
          <c:showVal val="0"/>
          <c:showCatName val="0"/>
          <c:showSerName val="0"/>
          <c:showPercent val="0"/>
          <c:showBubbleSize val="0"/>
        </c:dLbls>
        <c:smooth val="0"/>
        <c:axId val="212136704"/>
        <c:axId val="212138240"/>
      </c:lineChart>
      <c:catAx>
        <c:axId val="212136704"/>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138240"/>
        <c:crosses val="autoZero"/>
        <c:auto val="1"/>
        <c:lblAlgn val="ctr"/>
        <c:lblOffset val="100"/>
        <c:tickLblSkip val="1"/>
        <c:tickMarkSkip val="1"/>
        <c:noMultiLvlLbl val="1"/>
      </c:catAx>
      <c:valAx>
        <c:axId val="212138240"/>
        <c:scaling>
          <c:orientation val="minMax"/>
        </c:scaling>
        <c:delete val="1"/>
        <c:axPos val="l"/>
        <c:majorGridlines>
          <c:spPr>
            <a:ln w="3175">
              <a:solidFill>
                <a:srgbClr val="000000"/>
              </a:solidFill>
              <a:prstDash val="solid"/>
            </a:ln>
          </c:spPr>
        </c:majorGridlines>
        <c:numFmt formatCode="0.0" sourceLinked="1"/>
        <c:majorTickMark val="out"/>
        <c:minorTickMark val="none"/>
        <c:tickLblPos val="none"/>
        <c:crossAx val="212136704"/>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5338645418326827"/>
          <c:y val="0.87671232876712257"/>
          <c:w val="0.83864541832670092"/>
          <c:h val="9.1324200913242268E-2"/>
        </c:manualLayout>
      </c:layout>
      <c:overlay val="0"/>
      <c:spPr>
        <a:solidFill>
          <a:schemeClr val="tx2">
            <a:lumMod val="60000"/>
            <a:lumOff val="40000"/>
          </a:schemeClr>
        </a:solidFill>
        <a:ln w="12700">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FIVE YEARS ANNUAL DATA</a:t>
            </a:r>
          </a:p>
        </c:rich>
      </c:tx>
      <c:layout>
        <c:manualLayout>
          <c:xMode val="edge"/>
          <c:yMode val="edge"/>
          <c:x val="0.40476273799108442"/>
          <c:y val="3.7930864023163313E-2"/>
        </c:manualLayout>
      </c:layout>
      <c:overlay val="0"/>
      <c:spPr>
        <a:noFill/>
        <a:ln w="25400">
          <a:noFill/>
        </a:ln>
      </c:spPr>
    </c:title>
    <c:autoTitleDeleted val="0"/>
    <c:plotArea>
      <c:layout>
        <c:manualLayout>
          <c:layoutTarget val="inner"/>
          <c:xMode val="edge"/>
          <c:yMode val="edge"/>
          <c:x val="2.9761904761904791E-2"/>
          <c:y val="0.15517241379310345"/>
          <c:w val="0.93452380952380965"/>
          <c:h val="0.60344827586206851"/>
        </c:manualLayout>
      </c:layout>
      <c:lineChart>
        <c:grouping val="standard"/>
        <c:varyColors val="0"/>
        <c:ser>
          <c:idx val="2"/>
          <c:order val="0"/>
          <c:tx>
            <c:v>Revenues</c:v>
          </c:tx>
          <c:spPr>
            <a:ln w="38100">
              <a:solidFill>
                <a:srgbClr val="008000"/>
              </a:solidFill>
              <a:prstDash val="solid"/>
            </a:ln>
          </c:spPr>
          <c:marker>
            <c:symbol val="none"/>
          </c:marker>
          <c:cat>
            <c:numRef>
              <c:f>Data!$I$3:$M$3</c:f>
              <c:numCache>
                <c:formatCode>[$-409]d\-mmm\-yy;@</c:formatCode>
                <c:ptCount val="5"/>
              </c:numCache>
            </c:numRef>
          </c:cat>
          <c:val>
            <c:numRef>
              <c:f>Data!$I$39:$M$39</c:f>
              <c:numCache>
                <c:formatCode>_(* #,##0_);_(* \(#,##0\);_(* "-"??_);_(@_)</c:formatCode>
                <c:ptCount val="5"/>
                <c:pt idx="0">
                  <c:v>0</c:v>
                </c:pt>
                <c:pt idx="1">
                  <c:v>265595</c:v>
                </c:pt>
                <c:pt idx="2">
                  <c:v>260174</c:v>
                </c:pt>
                <c:pt idx="3">
                  <c:v>274515</c:v>
                </c:pt>
                <c:pt idx="4">
                  <c:v>365817</c:v>
                </c:pt>
              </c:numCache>
            </c:numRef>
          </c:val>
          <c:smooth val="0"/>
          <c:extLst>
            <c:ext xmlns:c16="http://schemas.microsoft.com/office/drawing/2014/chart" uri="{C3380CC4-5D6E-409C-BE32-E72D297353CC}">
              <c16:uniqueId val="{00000000-98F2-4048-9138-86F367453A81}"/>
            </c:ext>
          </c:extLst>
        </c:ser>
        <c:dLbls>
          <c:showLegendKey val="0"/>
          <c:showVal val="0"/>
          <c:showCatName val="0"/>
          <c:showSerName val="0"/>
          <c:showPercent val="0"/>
          <c:showBubbleSize val="0"/>
        </c:dLbls>
        <c:smooth val="0"/>
        <c:axId val="212088320"/>
        <c:axId val="212211968"/>
      </c:lineChart>
      <c:catAx>
        <c:axId val="212088320"/>
        <c:scaling>
          <c:orientation val="minMax"/>
        </c:scaling>
        <c:delete val="0"/>
        <c:axPos val="b"/>
        <c:numFmt formatCode="[$-409]d\-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211968"/>
        <c:crosses val="autoZero"/>
        <c:auto val="1"/>
        <c:lblAlgn val="ctr"/>
        <c:lblOffset val="100"/>
        <c:tickLblSkip val="1"/>
        <c:tickMarkSkip val="1"/>
        <c:noMultiLvlLbl val="1"/>
      </c:catAx>
      <c:valAx>
        <c:axId val="212211968"/>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088320"/>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0912698412698502"/>
          <c:y val="0.8789237668161437"/>
          <c:w val="0.83928571428571463"/>
          <c:h val="8.9686098654708557E-2"/>
        </c:manualLayout>
      </c:layout>
      <c:overlay val="0"/>
      <c:spPr>
        <a:solidFill>
          <a:srgbClr val="00B050"/>
        </a:solidFill>
        <a:ln w="12700">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a:t>LAST FIVE QUARTERS DATA</a:t>
            </a:r>
          </a:p>
        </c:rich>
      </c:tx>
      <c:layout>
        <c:manualLayout>
          <c:xMode val="edge"/>
          <c:yMode val="edge"/>
          <c:x val="0.3167332768662881"/>
          <c:y val="3.7800454315407885E-2"/>
        </c:manualLayout>
      </c:layout>
      <c:overlay val="0"/>
      <c:spPr>
        <a:noFill/>
        <a:ln w="25400">
          <a:noFill/>
        </a:ln>
      </c:spPr>
    </c:title>
    <c:autoTitleDeleted val="0"/>
    <c:plotArea>
      <c:layout>
        <c:manualLayout>
          <c:layoutTarget val="inner"/>
          <c:xMode val="edge"/>
          <c:yMode val="edge"/>
          <c:x val="2.9880478087649851E-2"/>
          <c:y val="0.14776632302405499"/>
          <c:w val="0.92430278884461037"/>
          <c:h val="0.61168384879725057"/>
        </c:manualLayout>
      </c:layout>
      <c:lineChart>
        <c:grouping val="standard"/>
        <c:varyColors val="0"/>
        <c:ser>
          <c:idx val="2"/>
          <c:order val="0"/>
          <c:tx>
            <c:v>Revenues</c:v>
          </c:tx>
          <c:spPr>
            <a:ln w="38100">
              <a:solidFill>
                <a:srgbClr val="008000"/>
              </a:solidFill>
              <a:prstDash val="solid"/>
            </a:ln>
          </c:spPr>
          <c:marker>
            <c:symbol val="none"/>
          </c:marker>
          <c:cat>
            <c:numRef>
              <c:f>Data!$I$84:$M$84</c:f>
              <c:numCache>
                <c:formatCode>[$-409]mmm\-yy;@</c:formatCode>
                <c:ptCount val="5"/>
              </c:numCache>
            </c:numRef>
          </c:cat>
          <c:val>
            <c:numRef>
              <c:f>Data!$C$95:$G$95</c:f>
              <c:numCache>
                <c:formatCode>#,##0.00</c:formatCode>
                <c:ptCount val="5"/>
                <c:pt idx="0">
                  <c:v>365817</c:v>
                </c:pt>
                <c:pt idx="1">
                  <c:v>274515</c:v>
                </c:pt>
                <c:pt idx="2">
                  <c:v>260174</c:v>
                </c:pt>
                <c:pt idx="3">
                  <c:v>265595</c:v>
                </c:pt>
                <c:pt idx="4">
                  <c:v>0</c:v>
                </c:pt>
              </c:numCache>
            </c:numRef>
          </c:val>
          <c:smooth val="0"/>
          <c:extLst>
            <c:ext xmlns:c16="http://schemas.microsoft.com/office/drawing/2014/chart" uri="{C3380CC4-5D6E-409C-BE32-E72D297353CC}">
              <c16:uniqueId val="{00000000-1BD6-476B-A898-8BF9F96204E2}"/>
            </c:ext>
          </c:extLst>
        </c:ser>
        <c:dLbls>
          <c:showLegendKey val="0"/>
          <c:showVal val="0"/>
          <c:showCatName val="0"/>
          <c:showSerName val="0"/>
          <c:showPercent val="0"/>
          <c:showBubbleSize val="0"/>
        </c:dLbls>
        <c:smooth val="0"/>
        <c:axId val="212338560"/>
        <c:axId val="212340096"/>
      </c:lineChart>
      <c:catAx>
        <c:axId val="212338560"/>
        <c:scaling>
          <c:orientation val="minMax"/>
        </c:scaling>
        <c:delete val="0"/>
        <c:axPos val="b"/>
        <c:numFmt formatCode="[$-409]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340096"/>
        <c:crosses val="autoZero"/>
        <c:auto val="1"/>
        <c:lblAlgn val="ctr"/>
        <c:lblOffset val="100"/>
        <c:tickLblSkip val="1"/>
        <c:tickMarkSkip val="1"/>
        <c:noMultiLvlLbl val="1"/>
      </c:catAx>
      <c:valAx>
        <c:axId val="212340096"/>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338560"/>
        <c:crosses val="autoZero"/>
        <c:crossBetween val="between"/>
      </c:valAx>
      <c:spPr>
        <a:gradFill rotWithShape="0">
          <a:gsLst>
            <a:gs pos="0">
              <a:srgbClr val="C0C0C0"/>
            </a:gs>
            <a:gs pos="100000">
              <a:srgbClr val="C0C0C0">
                <a:gamma/>
                <a:shade val="46275"/>
                <a:invGamma/>
              </a:srgbClr>
            </a:gs>
          </a:gsLst>
          <a:lin ang="5400000" scaled="1"/>
        </a:gradFill>
        <a:ln w="12700">
          <a:solidFill>
            <a:srgbClr val="808080"/>
          </a:solidFill>
          <a:prstDash val="solid"/>
        </a:ln>
      </c:spPr>
    </c:plotArea>
    <c:legend>
      <c:legendPos val="r"/>
      <c:layout>
        <c:manualLayout>
          <c:xMode val="edge"/>
          <c:yMode val="edge"/>
          <c:x val="0.14143426294820721"/>
          <c:y val="0.8789237668161437"/>
          <c:w val="0.83864541832670092"/>
          <c:h val="8.9686098654708557E-2"/>
        </c:manualLayout>
      </c:layout>
      <c:overlay val="0"/>
      <c:spPr>
        <a:solidFill>
          <a:schemeClr val="tx2">
            <a:lumMod val="60000"/>
            <a:lumOff val="40000"/>
          </a:schemeClr>
        </a:solidFill>
        <a:ln w="12700">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66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66" r="0.75000000000000766"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a:ea typeface="Arial"/>
                <a:cs typeface="Arial"/>
              </a:defRPr>
            </a:pPr>
            <a:r>
              <a:rPr lang="en-US" sz="1000" b="1" i="0" u="none" strike="noStrike" baseline="0"/>
              <a:t>FIVE YEARS </a:t>
            </a:r>
            <a:r>
              <a:rPr lang="en-US"/>
              <a:t>ANNUAL DATA</a:t>
            </a:r>
          </a:p>
        </c:rich>
      </c:tx>
      <c:layout>
        <c:manualLayout>
          <c:xMode val="edge"/>
          <c:yMode val="edge"/>
          <c:x val="0.40476273799108442"/>
          <c:y val="3.7037194674990219E-2"/>
        </c:manualLayout>
      </c:layout>
      <c:overlay val="0"/>
      <c:spPr>
        <a:noFill/>
        <a:ln w="25400">
          <a:noFill/>
        </a:ln>
      </c:spPr>
    </c:title>
    <c:autoTitleDeleted val="0"/>
    <c:view3D>
      <c:rotX val="15"/>
      <c:hPercent val="40"/>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C0C0C0">
                <a:gamma/>
                <a:shade val="46275"/>
                <a:invGamma/>
              </a:srgbClr>
            </a:gs>
          </a:gsLst>
          <a:lin ang="5400000" scaled="1"/>
        </a:gradFill>
        <a:ln w="12700">
          <a:solidFill>
            <a:srgbClr val="808080"/>
          </a:solidFill>
          <a:prstDash val="solid"/>
        </a:ln>
      </c:spPr>
    </c:sideWall>
    <c:backWall>
      <c:thickness val="0"/>
      <c:spPr>
        <a:gradFill rotWithShape="0">
          <a:gsLst>
            <a:gs pos="0">
              <a:srgbClr val="C0C0C0"/>
            </a:gs>
            <a:gs pos="100000">
              <a:srgbClr val="C0C0C0">
                <a:gamma/>
                <a:shade val="46275"/>
                <a:invGamma/>
              </a:srgbClr>
            </a:gs>
          </a:gsLst>
          <a:lin ang="5400000" scaled="1"/>
        </a:gradFill>
        <a:ln w="12700">
          <a:solidFill>
            <a:srgbClr val="808080"/>
          </a:solidFill>
          <a:prstDash val="solid"/>
        </a:ln>
      </c:spPr>
    </c:backWall>
    <c:plotArea>
      <c:layout>
        <c:manualLayout>
          <c:layoutTarget val="inner"/>
          <c:xMode val="edge"/>
          <c:yMode val="edge"/>
          <c:x val="6.3492063492063502E-2"/>
          <c:y val="0.14814814814814894"/>
          <c:w val="0.79365079365080304"/>
          <c:h val="0.61851851851852702"/>
        </c:manualLayout>
      </c:layout>
      <c:bar3DChart>
        <c:barDir val="col"/>
        <c:grouping val="clustered"/>
        <c:varyColors val="0"/>
        <c:ser>
          <c:idx val="0"/>
          <c:order val="0"/>
          <c:tx>
            <c:v>Inventory Ratio</c:v>
          </c:tx>
          <c:spPr>
            <a:solidFill>
              <a:srgbClr val="9999FF"/>
            </a:solidFill>
            <a:ln w="12700">
              <a:solidFill>
                <a:srgbClr val="000000"/>
              </a:solidFill>
              <a:prstDash val="solid"/>
            </a:ln>
          </c:spPr>
          <c:invertIfNegative val="0"/>
          <c:cat>
            <c:numRef>
              <c:f>Data!$I$3:$M$3</c:f>
              <c:numCache>
                <c:formatCode>[$-409]d\-mmm\-yy;@</c:formatCode>
                <c:ptCount val="5"/>
              </c:numCache>
            </c:numRef>
          </c:cat>
          <c:val>
            <c:numRef>
              <c:f>Data!$I$27:$M$27</c:f>
              <c:numCache>
                <c:formatCode>#,##0.00</c:formatCode>
                <c:ptCount val="5"/>
                <c:pt idx="0">
                  <c:v>0</c:v>
                </c:pt>
                <c:pt idx="1">
                  <c:v>12.936921578178275</c:v>
                </c:pt>
                <c:pt idx="2">
                  <c:v>12.81329721743413</c:v>
                </c:pt>
                <c:pt idx="3">
                  <c:v>8.3439209726443764</c:v>
                </c:pt>
                <c:pt idx="4">
                  <c:v>14.792438334007278</c:v>
                </c:pt>
              </c:numCache>
            </c:numRef>
          </c:val>
          <c:extLst>
            <c:ext xmlns:c16="http://schemas.microsoft.com/office/drawing/2014/chart" uri="{C3380CC4-5D6E-409C-BE32-E72D297353CC}">
              <c16:uniqueId val="{00000000-657A-48DB-ACFE-0BB062F4C36A}"/>
            </c:ext>
          </c:extLst>
        </c:ser>
        <c:dLbls>
          <c:showLegendKey val="0"/>
          <c:showVal val="0"/>
          <c:showCatName val="0"/>
          <c:showSerName val="0"/>
          <c:showPercent val="0"/>
          <c:showBubbleSize val="0"/>
        </c:dLbls>
        <c:gapWidth val="150"/>
        <c:shape val="box"/>
        <c:axId val="212431616"/>
        <c:axId val="212433152"/>
        <c:axId val="0"/>
      </c:bar3DChart>
      <c:catAx>
        <c:axId val="212431616"/>
        <c:scaling>
          <c:orientation val="minMax"/>
        </c:scaling>
        <c:delete val="0"/>
        <c:axPos val="b"/>
        <c:numFmt formatCode="[$-409]d\-mmm\-yy;@"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433152"/>
        <c:crosses val="autoZero"/>
        <c:auto val="1"/>
        <c:lblAlgn val="ctr"/>
        <c:lblOffset val="100"/>
        <c:tickLblSkip val="1"/>
        <c:tickMarkSkip val="1"/>
        <c:noMultiLvlLbl val="1"/>
      </c:catAx>
      <c:valAx>
        <c:axId val="212433152"/>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212431616"/>
        <c:crosses val="autoZero"/>
        <c:crossBetween val="between"/>
      </c:valAx>
      <c:spPr>
        <a:noFill/>
        <a:ln w="25400">
          <a:noFill/>
        </a:ln>
      </c:spPr>
    </c:plotArea>
    <c:legend>
      <c:legendPos val="b"/>
      <c:layout>
        <c:manualLayout>
          <c:xMode val="edge"/>
          <c:yMode val="edge"/>
          <c:x val="0.34126984126984461"/>
          <c:y val="0.89259275023054552"/>
          <c:w val="0.29100529100529132"/>
          <c:h val="8.1481639119434179E-2"/>
        </c:manualLayout>
      </c:layout>
      <c:overlay val="0"/>
      <c:spPr>
        <a:solidFill>
          <a:srgbClr val="00B050"/>
        </a:solidFill>
        <a:ln w="3175">
          <a:solidFill>
            <a:srgbClr val="000000"/>
          </a:solidFill>
          <a:prstDash val="solid"/>
        </a:ln>
      </c:spPr>
      <c:txPr>
        <a:bodyPr/>
        <a:lstStyle/>
        <a:p>
          <a:pPr>
            <a:defRPr sz="735" b="0" i="0" u="none" strike="noStrike" baseline="0">
              <a:solidFill>
                <a:schemeClr val="bg1"/>
              </a:solidFill>
              <a:latin typeface="Arial"/>
              <a:ea typeface="Arial"/>
              <a:cs typeface="Arial"/>
            </a:defRPr>
          </a:pPr>
          <a:endParaRPr lang="en-US"/>
        </a:p>
      </c:txPr>
    </c:legend>
    <c:plotVisOnly val="1"/>
    <c:dispBlanksAs val="gap"/>
    <c:showDLblsOverMax val="0"/>
  </c:chart>
  <c:spPr>
    <a:solidFill>
      <a:srgbClr val="33996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6</xdr:row>
      <xdr:rowOff>190500</xdr:rowOff>
    </xdr:from>
    <xdr:to>
      <xdr:col>6</xdr:col>
      <xdr:colOff>607695</xdr:colOff>
      <xdr:row>7</xdr:row>
      <xdr:rowOff>2819400</xdr:rowOff>
    </xdr:to>
    <xdr:pic>
      <xdr:nvPicPr>
        <xdr:cNvPr id="3097" name="Picture 1">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1285875"/>
          <a:ext cx="4067175" cy="2828925"/>
        </a:xfrm>
        <a:prstGeom prst="rect">
          <a:avLst/>
        </a:prstGeom>
        <a:noFill/>
        <a:ln w="1">
          <a:noFill/>
          <a:miter lim="800000"/>
          <a:headEnd/>
          <a:tailEnd/>
        </a:ln>
      </xdr:spPr>
    </xdr:pic>
    <xdr:clientData/>
  </xdr:twoCellAnchor>
  <xdr:twoCellAnchor>
    <xdr:from>
      <xdr:col>0</xdr:col>
      <xdr:colOff>219075</xdr:colOff>
      <xdr:row>7</xdr:row>
      <xdr:rowOff>1009650</xdr:rowOff>
    </xdr:from>
    <xdr:to>
      <xdr:col>7</xdr:col>
      <xdr:colOff>28575</xdr:colOff>
      <xdr:row>7</xdr:row>
      <xdr:rowOff>1676400</xdr:rowOff>
    </xdr:to>
    <xdr:sp macro="" textlink="">
      <xdr:nvSpPr>
        <xdr:cNvPr id="3" name="Oval 2">
          <a:extLst>
            <a:ext uri="{FF2B5EF4-FFF2-40B4-BE49-F238E27FC236}">
              <a16:creationId xmlns:a16="http://schemas.microsoft.com/office/drawing/2014/main" id="{00000000-0008-0000-0000-000003000000}"/>
            </a:ext>
          </a:extLst>
        </xdr:cNvPr>
        <xdr:cNvSpPr/>
      </xdr:nvSpPr>
      <xdr:spPr bwMode="auto">
        <a:xfrm>
          <a:off x="219075" y="2295525"/>
          <a:ext cx="4314825" cy="676275"/>
        </a:xfrm>
        <a:prstGeom prst="ellipse">
          <a:avLst/>
        </a:prstGeom>
        <a:noFill/>
        <a:ln w="38100">
          <a:solidFill>
            <a:srgbClr val="FF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endParaRPr lang="en-US"/>
        </a:p>
      </xdr:txBody>
    </xdr:sp>
    <xdr:clientData/>
  </xdr:twoCellAnchor>
  <xdr:twoCellAnchor editAs="oneCell">
    <xdr:from>
      <xdr:col>5</xdr:col>
      <xdr:colOff>533400</xdr:colOff>
      <xdr:row>24</xdr:row>
      <xdr:rowOff>220132</xdr:rowOff>
    </xdr:from>
    <xdr:to>
      <xdr:col>11</xdr:col>
      <xdr:colOff>84667</xdr:colOff>
      <xdr:row>25</xdr:row>
      <xdr:rowOff>1678980</xdr:rowOff>
    </xdr:to>
    <xdr:pic>
      <xdr:nvPicPr>
        <xdr:cNvPr id="4" name="Picture 3">
          <a:extLst>
            <a:ext uri="{FF2B5EF4-FFF2-40B4-BE49-F238E27FC236}">
              <a16:creationId xmlns:a16="http://schemas.microsoft.com/office/drawing/2014/main" id="{3DD93423-C8A0-4D56-82C4-985ED2D90DD0}"/>
            </a:ext>
          </a:extLst>
        </xdr:cNvPr>
        <xdr:cNvPicPr>
          <a:picLocks noChangeAspect="1"/>
        </xdr:cNvPicPr>
      </xdr:nvPicPr>
      <xdr:blipFill>
        <a:blip xmlns:r="http://schemas.openxmlformats.org/officeDocument/2006/relationships" r:embed="rId2"/>
        <a:stretch>
          <a:fillRect/>
        </a:stretch>
      </xdr:blipFill>
      <xdr:spPr>
        <a:xfrm>
          <a:off x="3124200" y="12996332"/>
          <a:ext cx="3208867" cy="1924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676275</xdr:colOff>
      <xdr:row>13</xdr:row>
      <xdr:rowOff>142875</xdr:rowOff>
    </xdr:to>
    <xdr:graphicFrame macro="">
      <xdr:nvGraphicFramePr>
        <xdr:cNvPr id="34841" name="Chart 1025">
          <a:extLst>
            <a:ext uri="{FF2B5EF4-FFF2-40B4-BE49-F238E27FC236}">
              <a16:creationId xmlns:a16="http://schemas.microsoft.com/office/drawing/2014/main" id="{00000000-0008-0000-0E00-000019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14</xdr:col>
      <xdr:colOff>638175</xdr:colOff>
      <xdr:row>13</xdr:row>
      <xdr:rowOff>142875</xdr:rowOff>
    </xdr:to>
    <xdr:graphicFrame macro="">
      <xdr:nvGraphicFramePr>
        <xdr:cNvPr id="34842" name="Chart 1026">
          <a:extLst>
            <a:ext uri="{FF2B5EF4-FFF2-40B4-BE49-F238E27FC236}">
              <a16:creationId xmlns:a16="http://schemas.microsoft.com/office/drawing/2014/main" id="{00000000-0008-0000-0E00-00001A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676275</xdr:colOff>
      <xdr:row>13</xdr:row>
      <xdr:rowOff>133350</xdr:rowOff>
    </xdr:to>
    <xdr:graphicFrame macro="">
      <xdr:nvGraphicFramePr>
        <xdr:cNvPr id="37913" name="Chart 1">
          <a:extLst>
            <a:ext uri="{FF2B5EF4-FFF2-40B4-BE49-F238E27FC236}">
              <a16:creationId xmlns:a16="http://schemas.microsoft.com/office/drawing/2014/main" id="{00000000-0008-0000-0F00-0000199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15</xdr:col>
      <xdr:colOff>19050</xdr:colOff>
      <xdr:row>13</xdr:row>
      <xdr:rowOff>142875</xdr:rowOff>
    </xdr:to>
    <xdr:graphicFrame macro="">
      <xdr:nvGraphicFramePr>
        <xdr:cNvPr id="37914" name="Chart 2">
          <a:extLst>
            <a:ext uri="{FF2B5EF4-FFF2-40B4-BE49-F238E27FC236}">
              <a16:creationId xmlns:a16="http://schemas.microsoft.com/office/drawing/2014/main" id="{00000000-0008-0000-0F00-00001A9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21</xdr:row>
      <xdr:rowOff>38100</xdr:rowOff>
    </xdr:from>
    <xdr:to>
      <xdr:col>5</xdr:col>
      <xdr:colOff>666750</xdr:colOff>
      <xdr:row>35</xdr:row>
      <xdr:rowOff>0</xdr:rowOff>
    </xdr:to>
    <xdr:graphicFrame macro="">
      <xdr:nvGraphicFramePr>
        <xdr:cNvPr id="41009" name="Chart 3">
          <a:extLst>
            <a:ext uri="{FF2B5EF4-FFF2-40B4-BE49-F238E27FC236}">
              <a16:creationId xmlns:a16="http://schemas.microsoft.com/office/drawing/2014/main" id="{00000000-0008-0000-1000-000031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6</xdr:col>
      <xdr:colOff>0</xdr:colOff>
      <xdr:row>13</xdr:row>
      <xdr:rowOff>123825</xdr:rowOff>
    </xdr:to>
    <xdr:graphicFrame macro="">
      <xdr:nvGraphicFramePr>
        <xdr:cNvPr id="41010" name="Chart 6">
          <a:extLst>
            <a:ext uri="{FF2B5EF4-FFF2-40B4-BE49-F238E27FC236}">
              <a16:creationId xmlns:a16="http://schemas.microsoft.com/office/drawing/2014/main" id="{00000000-0008-0000-1000-00003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95250</xdr:colOff>
      <xdr:row>0</xdr:row>
      <xdr:rowOff>0</xdr:rowOff>
    </xdr:from>
    <xdr:to>
      <xdr:col>12</xdr:col>
      <xdr:colOff>666750</xdr:colOff>
      <xdr:row>13</xdr:row>
      <xdr:rowOff>123825</xdr:rowOff>
    </xdr:to>
    <xdr:graphicFrame macro="">
      <xdr:nvGraphicFramePr>
        <xdr:cNvPr id="41011" name="Chart 5">
          <a:extLst>
            <a:ext uri="{FF2B5EF4-FFF2-40B4-BE49-F238E27FC236}">
              <a16:creationId xmlns:a16="http://schemas.microsoft.com/office/drawing/2014/main" id="{00000000-0008-0000-1000-000033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9525</xdr:colOff>
      <xdr:row>20</xdr:row>
      <xdr:rowOff>152400</xdr:rowOff>
    </xdr:from>
    <xdr:to>
      <xdr:col>13</xdr:col>
      <xdr:colOff>57150</xdr:colOff>
      <xdr:row>34</xdr:row>
      <xdr:rowOff>123825</xdr:rowOff>
    </xdr:to>
    <xdr:graphicFrame macro="">
      <xdr:nvGraphicFramePr>
        <xdr:cNvPr id="41012" name="Chart 6">
          <a:extLst>
            <a:ext uri="{FF2B5EF4-FFF2-40B4-BE49-F238E27FC236}">
              <a16:creationId xmlns:a16="http://schemas.microsoft.com/office/drawing/2014/main" id="{00000000-0008-0000-1000-000034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0</xdr:row>
      <xdr:rowOff>9525</xdr:rowOff>
    </xdr:from>
    <xdr:to>
      <xdr:col>7</xdr:col>
      <xdr:colOff>0</xdr:colOff>
      <xdr:row>14</xdr:row>
      <xdr:rowOff>0</xdr:rowOff>
    </xdr:to>
    <xdr:graphicFrame macro="">
      <xdr:nvGraphicFramePr>
        <xdr:cNvPr id="46105" name="Chart 1">
          <a:extLst>
            <a:ext uri="{FF2B5EF4-FFF2-40B4-BE49-F238E27FC236}">
              <a16:creationId xmlns:a16="http://schemas.microsoft.com/office/drawing/2014/main" id="{00000000-0008-0000-1100-000019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15</xdr:col>
      <xdr:colOff>0</xdr:colOff>
      <xdr:row>14</xdr:row>
      <xdr:rowOff>0</xdr:rowOff>
    </xdr:to>
    <xdr:graphicFrame macro="">
      <xdr:nvGraphicFramePr>
        <xdr:cNvPr id="46106" name="Chart 3">
          <a:extLst>
            <a:ext uri="{FF2B5EF4-FFF2-40B4-BE49-F238E27FC236}">
              <a16:creationId xmlns:a16="http://schemas.microsoft.com/office/drawing/2014/main" id="{00000000-0008-0000-1100-00001A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14</xdr:row>
      <xdr:rowOff>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15</xdr:col>
      <xdr:colOff>9525</xdr:colOff>
      <xdr:row>14</xdr:row>
      <xdr:rowOff>0</xdr:rowOff>
    </xdr:to>
    <xdr:graphicFrame macro="">
      <xdr:nvGraphicFramePr>
        <xdr:cNvPr id="3" name="Chart 3">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13</xdr:row>
      <xdr:rowOff>133350</xdr:rowOff>
    </xdr:to>
    <xdr:graphicFrame macro="">
      <xdr:nvGraphicFramePr>
        <xdr:cNvPr id="52249" name="Chart 1">
          <a:extLst>
            <a:ext uri="{FF2B5EF4-FFF2-40B4-BE49-F238E27FC236}">
              <a16:creationId xmlns:a16="http://schemas.microsoft.com/office/drawing/2014/main" id="{00000000-0008-0000-1300-000019C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13</xdr:row>
      <xdr:rowOff>133350</xdr:rowOff>
    </xdr:to>
    <xdr:graphicFrame macro="">
      <xdr:nvGraphicFramePr>
        <xdr:cNvPr id="55321" name="Chart 1">
          <a:extLst>
            <a:ext uri="{FF2B5EF4-FFF2-40B4-BE49-F238E27FC236}">
              <a16:creationId xmlns:a16="http://schemas.microsoft.com/office/drawing/2014/main" id="{00000000-0008-0000-1400-000019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15</xdr:col>
      <xdr:colOff>9525</xdr:colOff>
      <xdr:row>13</xdr:row>
      <xdr:rowOff>142875</xdr:rowOff>
    </xdr:to>
    <xdr:graphicFrame macro="">
      <xdr:nvGraphicFramePr>
        <xdr:cNvPr id="55322" name="Chart 5">
          <a:extLst>
            <a:ext uri="{FF2B5EF4-FFF2-40B4-BE49-F238E27FC236}">
              <a16:creationId xmlns:a16="http://schemas.microsoft.com/office/drawing/2014/main" id="{00000000-0008-0000-1400-00001A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119080</xdr:colOff>
      <xdr:row>0</xdr:row>
      <xdr:rowOff>226219</xdr:rowOff>
    </xdr:from>
    <xdr:to>
      <xdr:col>13</xdr:col>
      <xdr:colOff>511969</xdr:colOff>
      <xdr:row>2</xdr:row>
      <xdr:rowOff>11907</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9822674" y="226219"/>
          <a:ext cx="2166920" cy="26193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en-US" sz="1200" b="1" cap="none" spc="0">
              <a:ln w="18415" cmpd="sng">
                <a:noFill/>
                <a:prstDash val="solid"/>
              </a:ln>
              <a:solidFill>
                <a:srgbClr val="FFFFFF"/>
              </a:solidFill>
              <a:effectLst/>
              <a:latin typeface="+mn-lt"/>
            </a:rPr>
            <a:t>Click here for 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7</xdr:col>
      <xdr:colOff>0</xdr:colOff>
      <xdr:row>14</xdr:row>
      <xdr:rowOff>19050</xdr:rowOff>
    </xdr:to>
    <xdr:graphicFrame macro="">
      <xdr:nvGraphicFramePr>
        <xdr:cNvPr id="4145" name="Chart 1">
          <a:extLst>
            <a:ext uri="{FF2B5EF4-FFF2-40B4-BE49-F238E27FC236}">
              <a16:creationId xmlns:a16="http://schemas.microsoft.com/office/drawing/2014/main" id="{00000000-0008-0000-0700-00003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0</xdr:row>
      <xdr:rowOff>0</xdr:rowOff>
    </xdr:from>
    <xdr:to>
      <xdr:col>14</xdr:col>
      <xdr:colOff>657225</xdr:colOff>
      <xdr:row>14</xdr:row>
      <xdr:rowOff>28575</xdr:rowOff>
    </xdr:to>
    <xdr:graphicFrame macro="">
      <xdr:nvGraphicFramePr>
        <xdr:cNvPr id="4146" name="Chart 5">
          <a:extLst>
            <a:ext uri="{FF2B5EF4-FFF2-40B4-BE49-F238E27FC236}">
              <a16:creationId xmlns:a16="http://schemas.microsoft.com/office/drawing/2014/main" id="{00000000-0008-0000-0700-00003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18</xdr:row>
      <xdr:rowOff>0</xdr:rowOff>
    </xdr:from>
    <xdr:to>
      <xdr:col>7</xdr:col>
      <xdr:colOff>19050</xdr:colOff>
      <xdr:row>32</xdr:row>
      <xdr:rowOff>28575</xdr:rowOff>
    </xdr:to>
    <xdr:graphicFrame macro="">
      <xdr:nvGraphicFramePr>
        <xdr:cNvPr id="4147" name="Chart 3">
          <a:extLst>
            <a:ext uri="{FF2B5EF4-FFF2-40B4-BE49-F238E27FC236}">
              <a16:creationId xmlns:a16="http://schemas.microsoft.com/office/drawing/2014/main" id="{00000000-0008-0000-0700-000033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xdr:colOff>
      <xdr:row>18</xdr:row>
      <xdr:rowOff>0</xdr:rowOff>
    </xdr:from>
    <xdr:to>
      <xdr:col>14</xdr:col>
      <xdr:colOff>666750</xdr:colOff>
      <xdr:row>32</xdr:row>
      <xdr:rowOff>9525</xdr:rowOff>
    </xdr:to>
    <xdr:graphicFrame macro="">
      <xdr:nvGraphicFramePr>
        <xdr:cNvPr id="4148" name="Chart 7">
          <a:extLst>
            <a:ext uri="{FF2B5EF4-FFF2-40B4-BE49-F238E27FC236}">
              <a16:creationId xmlns:a16="http://schemas.microsoft.com/office/drawing/2014/main" id="{00000000-0008-0000-0700-00003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7</xdr:col>
      <xdr:colOff>0</xdr:colOff>
      <xdr:row>13</xdr:row>
      <xdr:rowOff>123825</xdr:rowOff>
    </xdr:to>
    <xdr:graphicFrame macro="">
      <xdr:nvGraphicFramePr>
        <xdr:cNvPr id="9265" name="Chart 1">
          <a:extLst>
            <a:ext uri="{FF2B5EF4-FFF2-40B4-BE49-F238E27FC236}">
              <a16:creationId xmlns:a16="http://schemas.microsoft.com/office/drawing/2014/main" id="{00000000-0008-0000-0800-00003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142875</xdr:colOff>
      <xdr:row>0</xdr:row>
      <xdr:rowOff>0</xdr:rowOff>
    </xdr:from>
    <xdr:to>
      <xdr:col>14</xdr:col>
      <xdr:colOff>123825</xdr:colOff>
      <xdr:row>13</xdr:row>
      <xdr:rowOff>104775</xdr:rowOff>
    </xdr:to>
    <xdr:graphicFrame macro="">
      <xdr:nvGraphicFramePr>
        <xdr:cNvPr id="9266" name="Chart 5">
          <a:extLst>
            <a:ext uri="{FF2B5EF4-FFF2-40B4-BE49-F238E27FC236}">
              <a16:creationId xmlns:a16="http://schemas.microsoft.com/office/drawing/2014/main" id="{00000000-0008-0000-0800-000032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24765</xdr:rowOff>
    </xdr:from>
    <xdr:to>
      <xdr:col>7</xdr:col>
      <xdr:colOff>0</xdr:colOff>
      <xdr:row>34</xdr:row>
      <xdr:rowOff>15240</xdr:rowOff>
    </xdr:to>
    <xdr:graphicFrame macro="">
      <xdr:nvGraphicFramePr>
        <xdr:cNvPr id="9267" name="Chart 1">
          <a:extLst>
            <a:ext uri="{FF2B5EF4-FFF2-40B4-BE49-F238E27FC236}">
              <a16:creationId xmlns:a16="http://schemas.microsoft.com/office/drawing/2014/main" id="{00000000-0008-0000-0800-000033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142875</xdr:colOff>
      <xdr:row>20</xdr:row>
      <xdr:rowOff>22860</xdr:rowOff>
    </xdr:from>
    <xdr:to>
      <xdr:col>14</xdr:col>
      <xdr:colOff>123825</xdr:colOff>
      <xdr:row>34</xdr:row>
      <xdr:rowOff>13335</xdr:rowOff>
    </xdr:to>
    <xdr:graphicFrame macro="">
      <xdr:nvGraphicFramePr>
        <xdr:cNvPr id="9268" name="Chart 5">
          <a:extLst>
            <a:ext uri="{FF2B5EF4-FFF2-40B4-BE49-F238E27FC236}">
              <a16:creationId xmlns:a16="http://schemas.microsoft.com/office/drawing/2014/main" id="{00000000-0008-0000-0800-00003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7</xdr:col>
      <xdr:colOff>0</xdr:colOff>
      <xdr:row>14</xdr:row>
      <xdr:rowOff>0</xdr:rowOff>
    </xdr:to>
    <xdr:graphicFrame macro="">
      <xdr:nvGraphicFramePr>
        <xdr:cNvPr id="14373" name="Chart 2">
          <a:extLst>
            <a:ext uri="{FF2B5EF4-FFF2-40B4-BE49-F238E27FC236}">
              <a16:creationId xmlns:a16="http://schemas.microsoft.com/office/drawing/2014/main" id="{00000000-0008-0000-0900-000025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57150</xdr:colOff>
      <xdr:row>0</xdr:row>
      <xdr:rowOff>47625</xdr:rowOff>
    </xdr:from>
    <xdr:to>
      <xdr:col>14</xdr:col>
      <xdr:colOff>657225</xdr:colOff>
      <xdr:row>15</xdr:row>
      <xdr:rowOff>28575</xdr:rowOff>
    </xdr:to>
    <xdr:graphicFrame macro="">
      <xdr:nvGraphicFramePr>
        <xdr:cNvPr id="14375" name="Chart 9">
          <a:extLst>
            <a:ext uri="{FF2B5EF4-FFF2-40B4-BE49-F238E27FC236}">
              <a16:creationId xmlns:a16="http://schemas.microsoft.com/office/drawing/2014/main" id="{00000000-0008-0000-0900-000027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0</xdr:rowOff>
    </xdr:from>
    <xdr:to>
      <xdr:col>7</xdr:col>
      <xdr:colOff>19050</xdr:colOff>
      <xdr:row>14</xdr:row>
      <xdr:rowOff>0</xdr:rowOff>
    </xdr:to>
    <xdr:graphicFrame macro="">
      <xdr:nvGraphicFramePr>
        <xdr:cNvPr id="18457" name="Chart 1">
          <a:extLst>
            <a:ext uri="{FF2B5EF4-FFF2-40B4-BE49-F238E27FC236}">
              <a16:creationId xmlns:a16="http://schemas.microsoft.com/office/drawing/2014/main" id="{00000000-0008-0000-0A00-000019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15</xdr:col>
      <xdr:colOff>19050</xdr:colOff>
      <xdr:row>14</xdr:row>
      <xdr:rowOff>0</xdr:rowOff>
    </xdr:to>
    <xdr:graphicFrame macro="">
      <xdr:nvGraphicFramePr>
        <xdr:cNvPr id="18458" name="Chart 3">
          <a:extLst>
            <a:ext uri="{FF2B5EF4-FFF2-40B4-BE49-F238E27FC236}">
              <a16:creationId xmlns:a16="http://schemas.microsoft.com/office/drawing/2014/main" id="{00000000-0008-0000-0A00-00001A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13</xdr:row>
      <xdr:rowOff>114300</xdr:rowOff>
    </xdr:to>
    <xdr:graphicFrame macro="">
      <xdr:nvGraphicFramePr>
        <xdr:cNvPr id="21541" name="Chart 1">
          <a:extLst>
            <a:ext uri="{FF2B5EF4-FFF2-40B4-BE49-F238E27FC236}">
              <a16:creationId xmlns:a16="http://schemas.microsoft.com/office/drawing/2014/main" id="{00000000-0008-0000-0B00-000025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15</xdr:col>
      <xdr:colOff>9525</xdr:colOff>
      <xdr:row>13</xdr:row>
      <xdr:rowOff>104775</xdr:rowOff>
    </xdr:to>
    <xdr:graphicFrame macro="">
      <xdr:nvGraphicFramePr>
        <xdr:cNvPr id="21542" name="Chart 6">
          <a:extLst>
            <a:ext uri="{FF2B5EF4-FFF2-40B4-BE49-F238E27FC236}">
              <a16:creationId xmlns:a16="http://schemas.microsoft.com/office/drawing/2014/main" id="{00000000-0008-0000-0B00-000026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6</xdr:col>
      <xdr:colOff>657225</xdr:colOff>
      <xdr:row>31</xdr:row>
      <xdr:rowOff>123825</xdr:rowOff>
    </xdr:to>
    <xdr:graphicFrame macro="">
      <xdr:nvGraphicFramePr>
        <xdr:cNvPr id="21543" name="Chart 4">
          <a:extLst>
            <a:ext uri="{FF2B5EF4-FFF2-40B4-BE49-F238E27FC236}">
              <a16:creationId xmlns:a16="http://schemas.microsoft.com/office/drawing/2014/main" id="{00000000-0008-0000-0B00-000027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14</xdr:row>
      <xdr:rowOff>0</xdr:rowOff>
    </xdr:to>
    <xdr:graphicFrame macro="">
      <xdr:nvGraphicFramePr>
        <xdr:cNvPr id="25625" name="Chart 1">
          <a:extLst>
            <a:ext uri="{FF2B5EF4-FFF2-40B4-BE49-F238E27FC236}">
              <a16:creationId xmlns:a16="http://schemas.microsoft.com/office/drawing/2014/main" id="{00000000-0008-0000-0C00-000019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0</xdr:row>
      <xdr:rowOff>0</xdr:rowOff>
    </xdr:from>
    <xdr:to>
      <xdr:col>14</xdr:col>
      <xdr:colOff>123825</xdr:colOff>
      <xdr:row>14</xdr:row>
      <xdr:rowOff>0</xdr:rowOff>
    </xdr:to>
    <xdr:graphicFrame macro="">
      <xdr:nvGraphicFramePr>
        <xdr:cNvPr id="25626" name="Chart 3">
          <a:extLst>
            <a:ext uri="{FF2B5EF4-FFF2-40B4-BE49-F238E27FC236}">
              <a16:creationId xmlns:a16="http://schemas.microsoft.com/office/drawing/2014/main" id="{00000000-0008-0000-0C00-00001A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638175</xdr:colOff>
      <xdr:row>14</xdr:row>
      <xdr:rowOff>0</xdr:rowOff>
    </xdr:to>
    <xdr:graphicFrame macro="">
      <xdr:nvGraphicFramePr>
        <xdr:cNvPr id="28697" name="Chart 1">
          <a:extLst>
            <a:ext uri="{FF2B5EF4-FFF2-40B4-BE49-F238E27FC236}">
              <a16:creationId xmlns:a16="http://schemas.microsoft.com/office/drawing/2014/main" id="{00000000-0008-0000-0D00-000019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15</xdr:col>
      <xdr:colOff>38100</xdr:colOff>
      <xdr:row>13</xdr:row>
      <xdr:rowOff>142875</xdr:rowOff>
    </xdr:to>
    <xdr:graphicFrame macro="">
      <xdr:nvGraphicFramePr>
        <xdr:cNvPr id="28698" name="Chart 3">
          <a:extLst>
            <a:ext uri="{FF2B5EF4-FFF2-40B4-BE49-F238E27FC236}">
              <a16:creationId xmlns:a16="http://schemas.microsoft.com/office/drawing/2014/main" id="{00000000-0008-0000-0D00-00001A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Zacks balance-sheet" connectionId="3" xr16:uid="{00000000-0016-0000-03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Zacks income-statement" connectionId="4" xr16:uid="{00000000-0016-0000-04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s" refreshOnLoad="1" connectionId="1" xr16:uid="{00000000-0016-0000-0500-000002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Zacks Ann cash-flow-statements" refreshOnLoad="1" connectionId="2" xr16:uid="{00000000-0016-0000-0600-000003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urufocus.com/fair_value_dcf.php?symbol=" TargetMode="External"/><Relationship Id="rId1" Type="http://schemas.openxmlformats.org/officeDocument/2006/relationships/hyperlink" Target="http://www.investopedia.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6.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printerSettings" Target="../printerSettings/printerSettings5.bin"/><Relationship Id="rId1" Type="http://schemas.openxmlformats.org/officeDocument/2006/relationships/hyperlink" Target="http://www.bankrate.com/rates/interest-rates/treasury.aspx?ec_id=m1108343&amp;s_kwcid=AL!1325!10!755415317!7018561280&amp;ef_id=VEqRkgAAAagJjRd7:20141024175838:s" TargetMode="Externa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1:Q37"/>
  <sheetViews>
    <sheetView showGridLines="0" zoomScale="90" zoomScaleNormal="90" workbookViewId="0">
      <selection activeCell="M2" sqref="M2:Q2"/>
    </sheetView>
  </sheetViews>
  <sheetFormatPr defaultRowHeight="12" x14ac:dyDescent="0.2"/>
  <cols>
    <col min="1" max="1" width="2.21875" customWidth="1"/>
    <col min="15" max="15" width="6.33203125" customWidth="1"/>
    <col min="17" max="17" width="9.33203125" customWidth="1"/>
  </cols>
  <sheetData>
    <row r="1" spans="2:17" ht="13.2" x14ac:dyDescent="0.25">
      <c r="B1" s="436" t="s">
        <v>119</v>
      </c>
      <c r="C1" s="436"/>
      <c r="D1" s="436"/>
      <c r="E1" s="436"/>
      <c r="F1" s="436"/>
      <c r="G1" s="436"/>
      <c r="H1" s="436"/>
      <c r="I1" s="436"/>
      <c r="J1" s="436"/>
      <c r="K1" s="436"/>
      <c r="L1" s="436"/>
    </row>
    <row r="2" spans="2:17" ht="16.2" x14ac:dyDescent="0.4">
      <c r="B2" s="440" t="s">
        <v>235</v>
      </c>
      <c r="C2" s="440"/>
      <c r="D2" s="440"/>
      <c r="E2" s="440"/>
      <c r="F2" s="440"/>
      <c r="G2" s="440"/>
      <c r="H2" s="440"/>
      <c r="I2" s="440"/>
      <c r="J2" s="440"/>
      <c r="K2" s="440"/>
      <c r="L2" s="440"/>
      <c r="M2" s="433" t="s">
        <v>141</v>
      </c>
      <c r="N2" s="434"/>
      <c r="O2" s="434"/>
      <c r="P2" s="434"/>
      <c r="Q2" s="435"/>
    </row>
    <row r="3" spans="2:17" ht="18" customHeight="1" x14ac:dyDescent="0.4">
      <c r="B3" s="440" t="s">
        <v>565</v>
      </c>
      <c r="C3" s="440"/>
      <c r="D3" s="440"/>
      <c r="E3" s="440"/>
      <c r="F3" s="440"/>
      <c r="G3" s="440"/>
      <c r="H3" s="440"/>
      <c r="I3" s="440"/>
      <c r="J3" s="440"/>
      <c r="K3" s="440"/>
      <c r="L3" s="440"/>
    </row>
    <row r="4" spans="2:17" ht="55.5" customHeight="1" x14ac:dyDescent="0.25">
      <c r="B4" s="437" t="s">
        <v>801</v>
      </c>
      <c r="C4" s="437"/>
      <c r="D4" s="437"/>
      <c r="E4" s="437"/>
      <c r="F4" s="437"/>
      <c r="G4" s="437"/>
      <c r="H4" s="437"/>
      <c r="I4" s="437"/>
      <c r="J4" s="437"/>
      <c r="K4" s="437"/>
      <c r="L4" s="437"/>
    </row>
    <row r="5" spans="2:17" ht="7.2" customHeight="1" x14ac:dyDescent="0.25">
      <c r="B5" s="184"/>
      <c r="C5" s="184"/>
      <c r="D5" s="184"/>
      <c r="E5" s="184"/>
      <c r="F5" s="184"/>
      <c r="G5" s="184"/>
      <c r="H5" s="184"/>
      <c r="I5" s="184"/>
      <c r="J5" s="184"/>
      <c r="K5" s="184"/>
      <c r="L5" s="184"/>
    </row>
    <row r="6" spans="2:17" s="424" customFormat="1" ht="40.799999999999997" customHeight="1" x14ac:dyDescent="0.2">
      <c r="B6" s="446" t="s">
        <v>966</v>
      </c>
      <c r="C6" s="446"/>
      <c r="D6" s="446"/>
      <c r="E6" s="446"/>
      <c r="F6" s="446"/>
      <c r="G6" s="446"/>
      <c r="H6" s="446"/>
      <c r="I6" s="446"/>
      <c r="J6" s="446"/>
      <c r="K6" s="446"/>
      <c r="L6" s="446"/>
    </row>
    <row r="7" spans="2:17" ht="15.75" customHeight="1" x14ac:dyDescent="0.2">
      <c r="B7" s="446"/>
      <c r="C7" s="446"/>
      <c r="D7" s="446"/>
      <c r="E7" s="446"/>
      <c r="F7" s="446"/>
      <c r="G7" s="446"/>
      <c r="H7" s="446"/>
      <c r="I7" s="446"/>
      <c r="J7" s="446"/>
      <c r="K7" s="446"/>
      <c r="L7" s="446"/>
    </row>
    <row r="8" spans="2:17" ht="222.75" customHeight="1" x14ac:dyDescent="0.25">
      <c r="B8" s="184"/>
      <c r="C8" s="184"/>
      <c r="D8" s="184"/>
      <c r="E8" s="184"/>
      <c r="F8" s="184"/>
      <c r="G8" s="184"/>
      <c r="H8" s="184"/>
      <c r="I8" s="445" t="s">
        <v>0</v>
      </c>
      <c r="J8" s="445"/>
      <c r="K8" s="445"/>
      <c r="L8" s="445"/>
    </row>
    <row r="9" spans="2:17" ht="62.25" customHeight="1" x14ac:dyDescent="0.25">
      <c r="B9" s="442" t="s">
        <v>218</v>
      </c>
      <c r="C9" s="442"/>
      <c r="D9" s="442"/>
      <c r="E9" s="442"/>
      <c r="F9" s="442"/>
      <c r="G9" s="442"/>
      <c r="H9" s="442"/>
      <c r="I9" s="442"/>
      <c r="J9" s="442"/>
      <c r="K9" s="442"/>
      <c r="L9" s="442"/>
    </row>
    <row r="10" spans="2:17" ht="12.75" customHeight="1" x14ac:dyDescent="0.3">
      <c r="B10" s="443"/>
      <c r="C10" s="443"/>
      <c r="D10" s="443"/>
      <c r="E10" s="443"/>
      <c r="F10" s="443"/>
      <c r="G10" s="443"/>
      <c r="H10" s="443"/>
      <c r="I10" s="443"/>
      <c r="J10" s="443"/>
      <c r="K10" s="443"/>
      <c r="L10" s="443"/>
    </row>
    <row r="11" spans="2:17" ht="162" customHeight="1" x14ac:dyDescent="0.2">
      <c r="B11" s="444" t="s">
        <v>1</v>
      </c>
      <c r="C11" s="444"/>
      <c r="D11" s="444"/>
      <c r="E11" s="444"/>
      <c r="F11" s="444"/>
      <c r="G11" s="444"/>
      <c r="H11" s="444"/>
      <c r="I11" s="444"/>
      <c r="J11" s="444"/>
      <c r="K11" s="444"/>
      <c r="L11" s="444"/>
    </row>
    <row r="12" spans="2:17" ht="51.75" customHeight="1" x14ac:dyDescent="0.25">
      <c r="B12" s="438" t="s">
        <v>802</v>
      </c>
      <c r="C12" s="438"/>
      <c r="D12" s="438"/>
      <c r="E12" s="438"/>
      <c r="F12" s="438"/>
      <c r="G12" s="438"/>
      <c r="H12" s="438"/>
      <c r="I12" s="438"/>
      <c r="J12" s="438"/>
      <c r="K12" s="438"/>
      <c r="L12" s="438"/>
    </row>
    <row r="13" spans="2:17" ht="13.5" customHeight="1" x14ac:dyDescent="0.2">
      <c r="B13" s="441"/>
      <c r="C13" s="441"/>
      <c r="D13" s="441"/>
      <c r="E13" s="441"/>
      <c r="F13" s="441"/>
      <c r="G13" s="441"/>
      <c r="H13" s="441"/>
      <c r="I13" s="441"/>
      <c r="J13" s="441"/>
      <c r="K13" s="441"/>
      <c r="L13" s="441"/>
    </row>
    <row r="14" spans="2:17" ht="14.25" customHeight="1" x14ac:dyDescent="0.25">
      <c r="B14" s="439" t="s">
        <v>108</v>
      </c>
      <c r="C14" s="439"/>
      <c r="D14" s="439"/>
      <c r="E14" s="439"/>
      <c r="F14" s="439"/>
      <c r="G14" s="439"/>
      <c r="H14" s="439"/>
      <c r="I14" s="439"/>
      <c r="J14" s="439"/>
      <c r="K14" s="439"/>
      <c r="L14" s="439"/>
    </row>
    <row r="15" spans="2:17" s="73" customFormat="1" ht="24.75" customHeight="1" x14ac:dyDescent="0.25">
      <c r="B15" s="438" t="s">
        <v>121</v>
      </c>
      <c r="C15" s="438"/>
      <c r="D15" s="438"/>
      <c r="E15" s="438"/>
      <c r="F15" s="438"/>
      <c r="G15" s="438"/>
      <c r="H15" s="438"/>
      <c r="I15" s="438"/>
      <c r="J15" s="438"/>
      <c r="K15" s="438"/>
      <c r="L15" s="438"/>
    </row>
    <row r="16" spans="2:17" ht="56.25" customHeight="1" x14ac:dyDescent="0.25">
      <c r="B16" s="438" t="s">
        <v>128</v>
      </c>
      <c r="C16" s="438"/>
      <c r="D16" s="438"/>
      <c r="E16" s="438"/>
      <c r="F16" s="438"/>
      <c r="G16" s="438"/>
      <c r="H16" s="438"/>
      <c r="I16" s="438"/>
      <c r="J16" s="438"/>
      <c r="K16" s="438"/>
      <c r="L16" s="438"/>
    </row>
    <row r="17" spans="2:15" ht="22.5" customHeight="1" x14ac:dyDescent="0.25">
      <c r="B17" s="450" t="s">
        <v>279</v>
      </c>
      <c r="C17" s="450"/>
      <c r="D17" s="450"/>
      <c r="E17" s="450"/>
      <c r="F17" s="450"/>
      <c r="G17" s="450"/>
      <c r="H17" s="450"/>
      <c r="I17" s="450"/>
      <c r="J17" s="450"/>
      <c r="K17" s="450"/>
      <c r="L17" s="450"/>
    </row>
    <row r="18" spans="2:15" ht="93.6" customHeight="1" x14ac:dyDescent="0.2">
      <c r="B18" s="449" t="s">
        <v>281</v>
      </c>
      <c r="C18" s="449"/>
      <c r="D18" s="449"/>
      <c r="E18" s="449"/>
      <c r="F18" s="449"/>
      <c r="G18" s="449"/>
      <c r="H18" s="449"/>
      <c r="I18" s="449"/>
      <c r="J18" s="449"/>
      <c r="K18" s="449"/>
      <c r="L18" s="449"/>
    </row>
    <row r="19" spans="2:15" ht="57.75" customHeight="1" x14ac:dyDescent="0.2">
      <c r="B19" s="449" t="s">
        <v>280</v>
      </c>
      <c r="C19" s="449"/>
      <c r="D19" s="449"/>
      <c r="E19" s="449"/>
      <c r="F19" s="449"/>
      <c r="G19" s="449"/>
      <c r="H19" s="449"/>
      <c r="I19" s="449"/>
      <c r="J19" s="449"/>
      <c r="K19" s="449"/>
      <c r="L19" s="449"/>
    </row>
    <row r="20" spans="2:15" ht="7.5" customHeight="1" x14ac:dyDescent="0.25">
      <c r="B20" s="2"/>
      <c r="C20" s="48"/>
      <c r="D20" s="48"/>
      <c r="E20" s="48"/>
      <c r="F20" s="48"/>
      <c r="G20" s="48"/>
      <c r="H20" s="48"/>
      <c r="I20" s="48"/>
      <c r="J20" s="2"/>
      <c r="K20" s="2"/>
      <c r="L20" s="5"/>
    </row>
    <row r="21" spans="2:15" ht="26.25" customHeight="1" x14ac:dyDescent="0.25">
      <c r="B21" s="447" t="s">
        <v>2</v>
      </c>
      <c r="C21" s="447"/>
      <c r="D21" s="447"/>
      <c r="E21" s="447"/>
      <c r="F21" s="447"/>
      <c r="G21" s="447"/>
      <c r="H21" s="447"/>
      <c r="I21" s="447"/>
      <c r="J21" s="447"/>
      <c r="K21" s="447"/>
      <c r="L21" s="447"/>
    </row>
    <row r="22" spans="2:15" ht="19.5" customHeight="1" x14ac:dyDescent="0.25">
      <c r="B22" s="5" t="s">
        <v>100</v>
      </c>
      <c r="C22" s="5"/>
      <c r="D22" s="5"/>
      <c r="E22" s="5"/>
      <c r="F22" s="5"/>
      <c r="G22" s="5"/>
      <c r="H22" s="5"/>
      <c r="I22" s="5"/>
      <c r="J22" s="5"/>
      <c r="K22" s="5"/>
      <c r="L22" s="5"/>
    </row>
    <row r="23" spans="2:15" ht="38.25" customHeight="1" x14ac:dyDescent="0.25">
      <c r="B23" s="438" t="s">
        <v>122</v>
      </c>
      <c r="C23" s="438"/>
      <c r="D23" s="438"/>
      <c r="E23" s="438"/>
      <c r="F23" s="438"/>
      <c r="G23" s="438"/>
      <c r="H23" s="438"/>
      <c r="I23" s="438"/>
      <c r="J23" s="438"/>
      <c r="K23" s="438"/>
      <c r="L23" s="438"/>
    </row>
    <row r="24" spans="2:15" ht="6" customHeight="1" x14ac:dyDescent="0.2">
      <c r="B24" s="448"/>
      <c r="C24" s="448"/>
      <c r="D24" s="448"/>
      <c r="E24" s="448"/>
      <c r="F24" s="448"/>
      <c r="G24" s="448"/>
      <c r="H24" s="448"/>
      <c r="I24" s="448"/>
      <c r="J24" s="448"/>
      <c r="K24" s="448"/>
      <c r="L24" s="448"/>
    </row>
    <row r="25" spans="2:15" ht="36.6" customHeight="1" x14ac:dyDescent="0.2">
      <c r="B25" s="449" t="s">
        <v>950</v>
      </c>
      <c r="C25" s="448"/>
      <c r="D25" s="448"/>
      <c r="E25" s="448"/>
      <c r="F25" s="448"/>
      <c r="G25" s="448"/>
      <c r="H25" s="448"/>
      <c r="I25" s="448"/>
      <c r="J25" s="448"/>
      <c r="K25" s="448"/>
      <c r="L25" s="448"/>
      <c r="M25" s="448"/>
      <c r="N25" s="448"/>
      <c r="O25" s="448"/>
    </row>
    <row r="26" spans="2:15" ht="155.4" customHeight="1" x14ac:dyDescent="0.2">
      <c r="B26" s="448" t="s">
        <v>949</v>
      </c>
      <c r="C26" s="448"/>
      <c r="D26" s="448"/>
      <c r="E26" s="448"/>
      <c r="F26" s="422"/>
      <c r="G26" s="422"/>
      <c r="H26" s="422"/>
      <c r="I26" s="422"/>
      <c r="J26" s="422"/>
      <c r="K26" s="422"/>
      <c r="L26" s="422"/>
      <c r="M26" s="422"/>
      <c r="N26" s="422"/>
      <c r="O26" s="422"/>
    </row>
    <row r="27" spans="2:15" ht="12" customHeight="1" x14ac:dyDescent="0.25">
      <c r="B27" s="437" t="s">
        <v>3</v>
      </c>
      <c r="C27" s="437"/>
      <c r="D27" s="437"/>
      <c r="E27" s="437"/>
      <c r="F27" s="437"/>
      <c r="G27" s="437"/>
      <c r="H27" s="437"/>
      <c r="I27" s="437"/>
      <c r="J27" s="437"/>
      <c r="K27" s="437"/>
      <c r="L27" s="437"/>
    </row>
    <row r="28" spans="2:15" ht="13.2" x14ac:dyDescent="0.25">
      <c r="B28" s="81" t="s">
        <v>136</v>
      </c>
    </row>
    <row r="29" spans="2:15" ht="6.75" customHeight="1" x14ac:dyDescent="0.25">
      <c r="B29" s="82"/>
    </row>
    <row r="30" spans="2:15" ht="22.2" customHeight="1" x14ac:dyDescent="0.25">
      <c r="B30" s="451" t="s">
        <v>138</v>
      </c>
      <c r="C30" s="451"/>
      <c r="D30" s="451"/>
      <c r="E30" s="451"/>
      <c r="F30" s="451"/>
      <c r="G30" s="451"/>
      <c r="H30" s="451"/>
      <c r="I30" s="451"/>
      <c r="J30" s="451"/>
      <c r="K30" s="451"/>
      <c r="L30" s="451"/>
      <c r="M30" s="82"/>
    </row>
    <row r="31" spans="2:15" x14ac:dyDescent="0.2">
      <c r="B31" t="s">
        <v>137</v>
      </c>
    </row>
    <row r="33" spans="2:6" ht="16.2" x14ac:dyDescent="0.4">
      <c r="B33" s="433" t="s">
        <v>141</v>
      </c>
      <c r="C33" s="434"/>
      <c r="D33" s="434"/>
      <c r="E33" s="434"/>
      <c r="F33" s="435"/>
    </row>
    <row r="37" spans="2:6" x14ac:dyDescent="0.2">
      <c r="D37" s="97"/>
    </row>
  </sheetData>
  <mergeCells count="26">
    <mergeCell ref="B33:F33"/>
    <mergeCell ref="B27:L27"/>
    <mergeCell ref="B15:L15"/>
    <mergeCell ref="B16:L16"/>
    <mergeCell ref="B23:L23"/>
    <mergeCell ref="B21:L21"/>
    <mergeCell ref="B24:L24"/>
    <mergeCell ref="B18:L18"/>
    <mergeCell ref="B17:L17"/>
    <mergeCell ref="B19:L19"/>
    <mergeCell ref="B30:L30"/>
    <mergeCell ref="B25:O25"/>
    <mergeCell ref="B26:E26"/>
    <mergeCell ref="M2:Q2"/>
    <mergeCell ref="B1:L1"/>
    <mergeCell ref="B4:L4"/>
    <mergeCell ref="B12:L12"/>
    <mergeCell ref="B14:L14"/>
    <mergeCell ref="B3:L3"/>
    <mergeCell ref="B13:L13"/>
    <mergeCell ref="B9:L9"/>
    <mergeCell ref="B10:L10"/>
    <mergeCell ref="B11:L11"/>
    <mergeCell ref="I8:L8"/>
    <mergeCell ref="B2:L2"/>
    <mergeCell ref="B6:L7"/>
  </mergeCells>
  <phoneticPr fontId="53" type="noConversion"/>
  <hyperlinks>
    <hyperlink ref="B33" location="'Annual Report'!A1" display="Click here to return to the Analysis page" xr:uid="{00000000-0004-0000-0000-000000000000}"/>
    <hyperlink ref="B33:F33" location="Analysis!A1" display="Click here to return to the Analysis page" xr:uid="{00000000-0004-0000-0000-000001000000}"/>
    <hyperlink ref="M2" location="'Annual Report'!A1" display="Click here to return to the Analysis page" xr:uid="{00000000-0004-0000-0000-000002000000}"/>
    <hyperlink ref="M2:Q2" location="Analysis!A1" display="Click here to return to the Analysis page" xr:uid="{00000000-0004-0000-0000-000003000000}"/>
  </hyperlinks>
  <pageMargins left="0.25" right="0.25" top="0.75" bottom="0.75" header="0.3" footer="0.3"/>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indexed="46"/>
  </sheetPr>
  <dimension ref="A5:O41"/>
  <sheetViews>
    <sheetView showGridLines="0" workbookViewId="0">
      <selection activeCell="C24" sqref="C24"/>
    </sheetView>
  </sheetViews>
  <sheetFormatPr defaultRowHeight="12" x14ac:dyDescent="0.2"/>
  <cols>
    <col min="8" max="8" width="1.33203125" customWidth="1"/>
  </cols>
  <sheetData>
    <row r="5" spans="1:15" x14ac:dyDescent="0.2">
      <c r="I5" s="110"/>
    </row>
    <row r="15" spans="1:15" ht="13.2" x14ac:dyDescent="0.25">
      <c r="A15" s="603" t="str">
        <f>IF(InventoriesThisYear=0,"This company has not reported any Inventories","")</f>
        <v/>
      </c>
      <c r="B15" s="603"/>
      <c r="C15" s="603"/>
      <c r="D15" s="603"/>
      <c r="E15" s="603"/>
      <c r="F15" s="603"/>
      <c r="G15" s="603"/>
    </row>
    <row r="16" spans="1:15" ht="16.5" customHeight="1" x14ac:dyDescent="0.2">
      <c r="A16" s="604" t="s">
        <v>17</v>
      </c>
      <c r="B16" s="604"/>
      <c r="C16" s="604"/>
      <c r="D16" s="604"/>
      <c r="E16" s="604"/>
      <c r="F16" s="604"/>
      <c r="G16" s="604"/>
      <c r="H16" s="604"/>
      <c r="I16" s="604"/>
      <c r="J16" s="604"/>
      <c r="K16" s="604"/>
      <c r="L16" s="604"/>
      <c r="M16" s="604"/>
      <c r="N16" s="604"/>
      <c r="O16" s="604"/>
    </row>
    <row r="18" spans="1:9" ht="13.8" x14ac:dyDescent="0.3">
      <c r="F18" s="600" t="s">
        <v>188</v>
      </c>
      <c r="G18" s="601"/>
      <c r="H18" s="601"/>
      <c r="I18" s="602"/>
    </row>
    <row r="20" spans="1:9" ht="74.400000000000006" customHeight="1" x14ac:dyDescent="0.25">
      <c r="A20" s="605" t="s">
        <v>198</v>
      </c>
      <c r="B20" s="605"/>
      <c r="C20" s="605"/>
      <c r="D20" s="605"/>
      <c r="E20" s="605"/>
      <c r="F20" s="605"/>
      <c r="G20" s="605"/>
    </row>
    <row r="36" spans="1:7" ht="11.25" customHeight="1" x14ac:dyDescent="0.2"/>
    <row r="39" spans="1:7" ht="12.75" customHeight="1" x14ac:dyDescent="0.2">
      <c r="A39" s="98"/>
      <c r="B39" s="98"/>
      <c r="C39" s="98"/>
      <c r="D39" s="98"/>
      <c r="E39" s="98"/>
      <c r="F39" s="98"/>
      <c r="G39" s="98"/>
    </row>
    <row r="40" spans="1:7" ht="13.5" customHeight="1" x14ac:dyDescent="0.2">
      <c r="A40" s="98"/>
      <c r="B40" s="98"/>
      <c r="C40" s="98"/>
      <c r="D40" s="98"/>
      <c r="E40" s="98"/>
      <c r="F40" s="98"/>
      <c r="G40" s="98"/>
    </row>
    <row r="41" spans="1:7" ht="13.2" x14ac:dyDescent="0.25">
      <c r="D41" s="99"/>
      <c r="E41" s="99"/>
      <c r="F41" s="99"/>
    </row>
  </sheetData>
  <mergeCells count="4">
    <mergeCell ref="F18:I18"/>
    <mergeCell ref="A15:G15"/>
    <mergeCell ref="A16:O16"/>
    <mergeCell ref="A20:G20"/>
  </mergeCells>
  <phoneticPr fontId="53" type="noConversion"/>
  <hyperlinks>
    <hyperlink ref="F18:I18" location="Analysis!A1" display="Return to Analysis Summary" xr:uid="{00000000-0004-0000-0900-000000000000}"/>
  </hyperlinks>
  <pageMargins left="0.75" right="0.75" top="1" bottom="1" header="0.5" footer="0.5"/>
  <pageSetup orientation="portrait" horizontalDpi="4294967293"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tabColor indexed="46"/>
  </sheetPr>
  <dimension ref="A1:O17"/>
  <sheetViews>
    <sheetView showGridLines="0" showRowColHeaders="0" workbookViewId="0"/>
  </sheetViews>
  <sheetFormatPr defaultRowHeight="12" x14ac:dyDescent="0.2"/>
  <cols>
    <col min="8" max="8" width="1.44140625" customWidth="1"/>
  </cols>
  <sheetData>
    <row r="1" spans="1:15" x14ac:dyDescent="0.2">
      <c r="A1" s="76"/>
    </row>
    <row r="15" spans="1:15" ht="38.25" customHeight="1" x14ac:dyDescent="0.25">
      <c r="A15" s="605" t="s">
        <v>275</v>
      </c>
      <c r="B15" s="605"/>
      <c r="C15" s="605"/>
      <c r="D15" s="605"/>
      <c r="E15" s="605"/>
      <c r="F15" s="605"/>
      <c r="G15" s="605"/>
      <c r="H15" s="605"/>
      <c r="I15" s="605"/>
      <c r="J15" s="605"/>
      <c r="K15" s="605"/>
      <c r="L15" s="605"/>
      <c r="M15" s="605"/>
      <c r="N15" s="605"/>
      <c r="O15" s="605"/>
    </row>
    <row r="17" spans="6:8" ht="13.8" x14ac:dyDescent="0.3">
      <c r="F17" s="595" t="s">
        <v>144</v>
      </c>
      <c r="G17" s="596"/>
      <c r="H17" s="597"/>
    </row>
  </sheetData>
  <mergeCells count="2">
    <mergeCell ref="F17:H17"/>
    <mergeCell ref="A15:O15"/>
  </mergeCells>
  <phoneticPr fontId="79" type="noConversion"/>
  <hyperlinks>
    <hyperlink ref="F17:H17" location="Analysis!A1" display="Return to Analysis Summary " xr:uid="{00000000-0004-0000-0A00-000000000000}"/>
  </hyperlinks>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tabColor indexed="46"/>
  </sheetPr>
  <dimension ref="A16:O35"/>
  <sheetViews>
    <sheetView showGridLines="0" showRowColHeaders="0" workbookViewId="0"/>
  </sheetViews>
  <sheetFormatPr defaultRowHeight="12" x14ac:dyDescent="0.2"/>
  <cols>
    <col min="8" max="8" width="2.109375" customWidth="1"/>
  </cols>
  <sheetData>
    <row r="16" spans="1:15" ht="38.25" customHeight="1" x14ac:dyDescent="0.2">
      <c r="A16" s="594" t="s">
        <v>166</v>
      </c>
      <c r="B16" s="594"/>
      <c r="C16" s="594"/>
      <c r="D16" s="594"/>
      <c r="E16" s="594"/>
      <c r="F16" s="594"/>
      <c r="G16" s="594"/>
      <c r="H16" s="594"/>
      <c r="I16" s="594"/>
      <c r="J16" s="594"/>
      <c r="K16" s="594"/>
      <c r="L16" s="594"/>
      <c r="M16" s="594"/>
      <c r="N16" s="594"/>
      <c r="O16" s="594"/>
    </row>
    <row r="17" spans="1:15" ht="12.75" customHeight="1" x14ac:dyDescent="0.2">
      <c r="A17" s="594" t="s">
        <v>27</v>
      </c>
      <c r="B17" s="594"/>
      <c r="C17" s="594"/>
      <c r="D17" s="594"/>
      <c r="E17" s="594"/>
      <c r="F17" s="594"/>
      <c r="G17" s="594"/>
      <c r="H17" s="594"/>
      <c r="I17" s="594"/>
      <c r="J17" s="594"/>
      <c r="K17" s="594"/>
      <c r="L17" s="594"/>
      <c r="M17" s="594"/>
      <c r="N17" s="594"/>
      <c r="O17" s="594"/>
    </row>
    <row r="19" spans="1:15" ht="13.8" x14ac:dyDescent="0.3">
      <c r="F19" s="600" t="s">
        <v>144</v>
      </c>
      <c r="G19" s="601"/>
      <c r="H19" s="601"/>
      <c r="I19" s="602"/>
    </row>
    <row r="22" spans="1:15" ht="40.5" customHeight="1" x14ac:dyDescent="0.3">
      <c r="I22" s="608" t="s">
        <v>8</v>
      </c>
      <c r="J22" s="608"/>
      <c r="K22" s="608"/>
      <c r="L22" s="608"/>
      <c r="M22" s="608"/>
      <c r="N22" s="608"/>
      <c r="O22" s="608"/>
    </row>
    <row r="33" spans="1:15" ht="27.75" customHeight="1" x14ac:dyDescent="0.25">
      <c r="A33" s="605" t="s">
        <v>7</v>
      </c>
      <c r="B33" s="605"/>
      <c r="C33" s="605"/>
      <c r="D33" s="605"/>
      <c r="E33" s="605"/>
      <c r="F33" s="605"/>
      <c r="G33" s="605"/>
    </row>
    <row r="34" spans="1:15" ht="9.75" customHeight="1" x14ac:dyDescent="0.2"/>
    <row r="35" spans="1:15" ht="12" customHeight="1" x14ac:dyDescent="0.2">
      <c r="C35" s="607"/>
      <c r="D35" s="607"/>
      <c r="E35" s="607"/>
      <c r="I35" s="606"/>
      <c r="J35" s="606"/>
      <c r="K35" s="606"/>
      <c r="L35" s="606"/>
      <c r="M35" s="606"/>
      <c r="N35" s="606"/>
      <c r="O35" s="606"/>
    </row>
  </sheetData>
  <mergeCells count="7">
    <mergeCell ref="I35:O35"/>
    <mergeCell ref="C35:E35"/>
    <mergeCell ref="A16:O16"/>
    <mergeCell ref="A17:O17"/>
    <mergeCell ref="F19:I19"/>
    <mergeCell ref="I22:O22"/>
    <mergeCell ref="A33:G33"/>
  </mergeCells>
  <phoneticPr fontId="53" type="noConversion"/>
  <hyperlinks>
    <hyperlink ref="F19:I19" location="Analysis!A1" display="Return to Analysis Summary " xr:uid="{00000000-0004-0000-0B00-000000000000}"/>
  </hyperlinks>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tabColor indexed="46"/>
  </sheetPr>
  <dimension ref="A15:O20"/>
  <sheetViews>
    <sheetView showGridLines="0" showRowColHeaders="0" workbookViewId="0"/>
  </sheetViews>
  <sheetFormatPr defaultRowHeight="12" x14ac:dyDescent="0.2"/>
  <sheetData>
    <row r="15" spans="1:15" ht="15.6" x14ac:dyDescent="0.3">
      <c r="E15" s="612" t="s">
        <v>199</v>
      </c>
      <c r="F15" s="612"/>
      <c r="G15" s="612"/>
      <c r="H15" s="139" t="str">
        <f>Analysis!F27</f>
        <v>N/A</v>
      </c>
      <c r="I15" s="613" t="str">
        <f>IF(LTDebtThisYEar=0,"This company has no Long-term Debt","")</f>
        <v/>
      </c>
      <c r="J15" s="613"/>
      <c r="K15" s="613"/>
      <c r="L15" s="613"/>
      <c r="M15" s="613"/>
      <c r="N15" s="613"/>
      <c r="O15" s="613"/>
    </row>
    <row r="16" spans="1:15" ht="46.5" customHeight="1" x14ac:dyDescent="0.25">
      <c r="A16" s="605" t="s">
        <v>200</v>
      </c>
      <c r="B16" s="605"/>
      <c r="C16" s="605"/>
      <c r="D16" s="605"/>
      <c r="E16" s="605"/>
      <c r="F16" s="605"/>
      <c r="G16" s="605"/>
      <c r="H16" s="605"/>
      <c r="I16" s="605"/>
      <c r="J16" s="605"/>
      <c r="K16" s="605"/>
      <c r="L16" s="605"/>
      <c r="M16" s="605"/>
      <c r="N16" s="605"/>
    </row>
    <row r="20" spans="6:9" x14ac:dyDescent="0.2">
      <c r="F20" s="609" t="s">
        <v>144</v>
      </c>
      <c r="G20" s="610"/>
      <c r="H20" s="610"/>
      <c r="I20" s="611"/>
    </row>
  </sheetData>
  <mergeCells count="4">
    <mergeCell ref="F20:I20"/>
    <mergeCell ref="A16:N16"/>
    <mergeCell ref="E15:G15"/>
    <mergeCell ref="I15:O15"/>
  </mergeCells>
  <phoneticPr fontId="99" type="noConversion"/>
  <conditionalFormatting sqref="E15:G15">
    <cfRule type="expression" dxfId="361" priority="1" stopIfTrue="1">
      <formula>$H$15&gt;5</formula>
    </cfRule>
    <cfRule type="expression" dxfId="360" priority="2" stopIfTrue="1">
      <formula>+$E$15&lt;=3</formula>
    </cfRule>
  </conditionalFormatting>
  <conditionalFormatting sqref="H15">
    <cfRule type="cellIs" dxfId="359" priority="3" stopIfTrue="1" operator="lessThanOrEqual">
      <formula>3</formula>
    </cfRule>
    <cfRule type="cellIs" dxfId="358" priority="4" stopIfTrue="1" operator="between">
      <formula>3</formula>
      <formula>5</formula>
    </cfRule>
    <cfRule type="cellIs" dxfId="357" priority="5" stopIfTrue="1" operator="greaterThan">
      <formula>5</formula>
    </cfRule>
  </conditionalFormatting>
  <hyperlinks>
    <hyperlink ref="F20:I20" location="Analysis!A1" display="Return to Analysis Summary "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indexed="46"/>
  </sheetPr>
  <dimension ref="A1:O43"/>
  <sheetViews>
    <sheetView showGridLines="0" showRowColHeaders="0" workbookViewId="0">
      <selection activeCell="G16" sqref="G16:I16"/>
    </sheetView>
  </sheetViews>
  <sheetFormatPr defaultRowHeight="12" x14ac:dyDescent="0.2"/>
  <cols>
    <col min="8" max="8" width="1" customWidth="1"/>
  </cols>
  <sheetData>
    <row r="1" spans="7:9" x14ac:dyDescent="0.2">
      <c r="H1" s="127"/>
    </row>
    <row r="2" spans="7:9" x14ac:dyDescent="0.2">
      <c r="H2" s="127"/>
    </row>
    <row r="3" spans="7:9" x14ac:dyDescent="0.2">
      <c r="H3" s="127"/>
    </row>
    <row r="4" spans="7:9" x14ac:dyDescent="0.2">
      <c r="H4" s="127"/>
    </row>
    <row r="5" spans="7:9" x14ac:dyDescent="0.2">
      <c r="H5" s="127"/>
    </row>
    <row r="6" spans="7:9" x14ac:dyDescent="0.2">
      <c r="H6" s="127"/>
    </row>
    <row r="7" spans="7:9" x14ac:dyDescent="0.2">
      <c r="H7" s="127"/>
    </row>
    <row r="8" spans="7:9" x14ac:dyDescent="0.2">
      <c r="H8" s="127"/>
    </row>
    <row r="9" spans="7:9" x14ac:dyDescent="0.2">
      <c r="H9" s="127"/>
    </row>
    <row r="10" spans="7:9" x14ac:dyDescent="0.2">
      <c r="H10" s="127"/>
    </row>
    <row r="11" spans="7:9" x14ac:dyDescent="0.2">
      <c r="H11" s="127"/>
    </row>
    <row r="12" spans="7:9" x14ac:dyDescent="0.2">
      <c r="H12" s="127"/>
    </row>
    <row r="13" spans="7:9" x14ac:dyDescent="0.2">
      <c r="H13" s="127"/>
    </row>
    <row r="14" spans="7:9" x14ac:dyDescent="0.2">
      <c r="H14" s="127"/>
    </row>
    <row r="15" spans="7:9" x14ac:dyDescent="0.2">
      <c r="H15" s="127"/>
    </row>
    <row r="16" spans="7:9" ht="13.8" x14ac:dyDescent="0.3">
      <c r="G16" s="595" t="s">
        <v>144</v>
      </c>
      <c r="H16" s="596"/>
      <c r="I16" s="597"/>
    </row>
    <row r="17" spans="1:15" x14ac:dyDescent="0.2">
      <c r="H17" s="127"/>
    </row>
    <row r="18" spans="1:15" ht="84.75" customHeight="1" x14ac:dyDescent="0.2">
      <c r="A18" s="614" t="s">
        <v>171</v>
      </c>
      <c r="B18" s="594"/>
      <c r="C18" s="594"/>
      <c r="D18" s="594"/>
      <c r="E18" s="594"/>
      <c r="F18" s="594"/>
      <c r="G18" s="594"/>
      <c r="H18" s="127"/>
      <c r="I18" s="598" t="s">
        <v>196</v>
      </c>
      <c r="J18" s="598"/>
      <c r="K18" s="598"/>
      <c r="L18" s="598"/>
      <c r="M18" s="598"/>
      <c r="N18" s="598"/>
      <c r="O18" s="598"/>
    </row>
    <row r="19" spans="1:15" ht="42" customHeight="1" x14ac:dyDescent="0.2">
      <c r="A19" s="594" t="s">
        <v>168</v>
      </c>
      <c r="B19" s="594"/>
      <c r="C19" s="594"/>
      <c r="D19" s="594"/>
      <c r="E19" s="594"/>
      <c r="F19" s="594"/>
      <c r="G19" s="594"/>
      <c r="H19" s="127"/>
    </row>
    <row r="20" spans="1:15" x14ac:dyDescent="0.2">
      <c r="A20" s="107"/>
      <c r="B20" s="107"/>
      <c r="C20" s="107"/>
      <c r="D20" s="107"/>
      <c r="E20" s="107"/>
      <c r="F20" s="107"/>
      <c r="G20" s="107"/>
      <c r="H20" s="127"/>
    </row>
    <row r="21" spans="1:15" ht="52.5" customHeight="1" x14ac:dyDescent="0.2">
      <c r="A21" s="615" t="s">
        <v>202</v>
      </c>
      <c r="B21" s="616"/>
      <c r="C21" s="616"/>
      <c r="D21" s="616"/>
      <c r="E21" s="616"/>
      <c r="F21" s="616"/>
      <c r="G21" s="616"/>
      <c r="H21" s="127"/>
    </row>
    <row r="22" spans="1:15" ht="13.2" x14ac:dyDescent="0.25">
      <c r="A22" s="620" t="s">
        <v>170</v>
      </c>
      <c r="B22" s="620"/>
      <c r="C22" s="620"/>
      <c r="D22" s="620"/>
      <c r="E22" s="620"/>
      <c r="F22" s="620"/>
      <c r="G22" s="620"/>
      <c r="H22" s="127"/>
    </row>
    <row r="23" spans="1:15" x14ac:dyDescent="0.2">
      <c r="A23" s="621"/>
      <c r="B23" s="621"/>
      <c r="C23" s="621"/>
      <c r="D23" s="621"/>
      <c r="E23" s="621"/>
      <c r="F23" s="621"/>
      <c r="G23" s="621"/>
      <c r="H23" s="127"/>
    </row>
    <row r="24" spans="1:15" ht="40.5" customHeight="1" x14ac:dyDescent="0.2">
      <c r="A24" s="622" t="s">
        <v>174</v>
      </c>
      <c r="B24" s="623"/>
      <c r="C24" s="623"/>
      <c r="D24" s="623"/>
      <c r="E24" s="623"/>
      <c r="F24" s="623"/>
      <c r="G24" s="623"/>
      <c r="H24" s="127"/>
    </row>
    <row r="25" spans="1:15" x14ac:dyDescent="0.2">
      <c r="A25" s="624"/>
      <c r="B25" s="624"/>
      <c r="C25" s="624"/>
      <c r="D25" s="624"/>
      <c r="E25" s="624"/>
      <c r="F25" s="624"/>
      <c r="G25" s="624"/>
      <c r="H25" s="127"/>
    </row>
    <row r="26" spans="1:15" ht="62.25" customHeight="1" x14ac:dyDescent="0.2">
      <c r="A26" s="617" t="s">
        <v>203</v>
      </c>
      <c r="B26" s="618"/>
      <c r="C26" s="618"/>
      <c r="D26" s="618"/>
      <c r="E26" s="618"/>
      <c r="F26" s="618"/>
      <c r="G26" s="619"/>
      <c r="H26" s="127"/>
    </row>
    <row r="28" spans="1:15" ht="10.5" customHeight="1" x14ac:dyDescent="0.2"/>
    <row r="40" spans="1:1" ht="15.6" x14ac:dyDescent="0.3">
      <c r="A40" s="106"/>
    </row>
    <row r="41" spans="1:1" ht="37.5" customHeight="1" x14ac:dyDescent="0.2"/>
    <row r="43" spans="1:1" ht="13.2" x14ac:dyDescent="0.25">
      <c r="A43" s="82"/>
    </row>
  </sheetData>
  <mergeCells count="10">
    <mergeCell ref="A26:G26"/>
    <mergeCell ref="A22:G22"/>
    <mergeCell ref="A23:G23"/>
    <mergeCell ref="A24:G24"/>
    <mergeCell ref="A25:G25"/>
    <mergeCell ref="G16:I16"/>
    <mergeCell ref="A18:G18"/>
    <mergeCell ref="A21:G21"/>
    <mergeCell ref="A19:G19"/>
    <mergeCell ref="I18:O18"/>
  </mergeCells>
  <phoneticPr fontId="53" type="noConversion"/>
  <hyperlinks>
    <hyperlink ref="G16:I16" location="Analysis!A1" display="Return to Analysis Summary " xr:uid="{00000000-0004-0000-0D00-000000000000}"/>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indexed="46"/>
  </sheetPr>
  <dimension ref="A15:O20"/>
  <sheetViews>
    <sheetView showGridLines="0" showRowColHeaders="0" workbookViewId="0"/>
  </sheetViews>
  <sheetFormatPr defaultRowHeight="12" x14ac:dyDescent="0.2"/>
  <cols>
    <col min="8" max="8" width="1.33203125" customWidth="1"/>
  </cols>
  <sheetData>
    <row r="15" spans="1:15" ht="69" customHeight="1" x14ac:dyDescent="0.25">
      <c r="A15" s="605" t="s">
        <v>246</v>
      </c>
      <c r="B15" s="605"/>
      <c r="C15" s="605"/>
      <c r="D15" s="605"/>
      <c r="E15" s="605"/>
      <c r="F15" s="605"/>
      <c r="G15" s="605"/>
      <c r="H15" s="126"/>
      <c r="I15" s="605" t="s">
        <v>207</v>
      </c>
      <c r="J15" s="605"/>
      <c r="K15" s="605"/>
      <c r="L15" s="605"/>
      <c r="M15" s="605"/>
      <c r="N15" s="605"/>
      <c r="O15" s="605"/>
    </row>
    <row r="17" spans="1:14" ht="13.2" x14ac:dyDescent="0.25">
      <c r="A17" s="532" t="str">
        <f>IF(Data!M55=0,"No Dividend is currently paid by this company, therefore no comparison can be made.","")</f>
        <v>No Dividend is currently paid by this company, therefore no comparison can be made.</v>
      </c>
      <c r="B17" s="532"/>
      <c r="C17" s="532"/>
      <c r="D17" s="532"/>
      <c r="E17" s="532"/>
      <c r="F17" s="532"/>
      <c r="G17" s="532"/>
      <c r="H17" s="532"/>
      <c r="I17" s="532"/>
    </row>
    <row r="18" spans="1:14" ht="13.8" x14ac:dyDescent="0.3">
      <c r="F18" s="600" t="s">
        <v>144</v>
      </c>
      <c r="G18" s="601"/>
      <c r="H18" s="601"/>
      <c r="I18" s="602"/>
    </row>
    <row r="20" spans="1:14" ht="13.2" x14ac:dyDescent="0.25">
      <c r="A20" s="125"/>
      <c r="B20" s="125"/>
      <c r="C20" s="125"/>
      <c r="D20" s="125"/>
      <c r="E20" s="125"/>
      <c r="F20" s="125"/>
      <c r="G20" s="125"/>
      <c r="H20" s="125"/>
      <c r="I20" s="125"/>
      <c r="J20" s="125"/>
      <c r="K20" s="125"/>
      <c r="L20" s="125"/>
      <c r="M20" s="125"/>
      <c r="N20" s="125"/>
    </row>
  </sheetData>
  <mergeCells count="4">
    <mergeCell ref="A15:G15"/>
    <mergeCell ref="I15:O15"/>
    <mergeCell ref="F18:I18"/>
    <mergeCell ref="A17:I17"/>
  </mergeCells>
  <phoneticPr fontId="94" type="noConversion"/>
  <hyperlinks>
    <hyperlink ref="F18:I18" location="Analysis!A1" display="Return to Analysis Summary " xr:uid="{00000000-0004-0000-0E00-000000000000}"/>
  </hyperlinks>
  <pageMargins left="0.75" right="0.75" top="1" bottom="1" header="0.5" footer="0.5"/>
  <pageSetup orientation="portrait" horizontalDpi="4294967293" verticalDpi="12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indexed="46"/>
  </sheetPr>
  <dimension ref="A15:O18"/>
  <sheetViews>
    <sheetView showGridLines="0" showRowColHeaders="0" workbookViewId="0"/>
  </sheetViews>
  <sheetFormatPr defaultRowHeight="12" x14ac:dyDescent="0.2"/>
  <cols>
    <col min="8" max="8" width="1.88671875" customWidth="1"/>
  </cols>
  <sheetData>
    <row r="15" spans="1:15" ht="36.75" customHeight="1" x14ac:dyDescent="0.25">
      <c r="A15" s="605" t="s">
        <v>14</v>
      </c>
      <c r="B15" s="605"/>
      <c r="C15" s="605"/>
      <c r="D15" s="605"/>
      <c r="E15" s="605"/>
      <c r="F15" s="605"/>
      <c r="G15" s="605"/>
      <c r="H15" s="605"/>
      <c r="I15" s="605"/>
      <c r="J15" s="605"/>
      <c r="K15" s="605"/>
      <c r="L15" s="605"/>
      <c r="M15" s="605"/>
      <c r="N15" s="605"/>
      <c r="O15" s="605"/>
    </row>
    <row r="18" spans="7:9" ht="13.8" x14ac:dyDescent="0.3">
      <c r="G18" s="595" t="s">
        <v>144</v>
      </c>
      <c r="H18" s="596"/>
      <c r="I18" s="597"/>
    </row>
  </sheetData>
  <mergeCells count="2">
    <mergeCell ref="A15:O15"/>
    <mergeCell ref="G18:I18"/>
  </mergeCells>
  <phoneticPr fontId="94" type="noConversion"/>
  <hyperlinks>
    <hyperlink ref="G18:I18" location="Analysis!A1" display="Return to Analysis Summary " xr:uid="{00000000-0004-0000-0F00-000000000000}"/>
  </hyperlinks>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indexed="46"/>
  </sheetPr>
  <dimension ref="A11:N39"/>
  <sheetViews>
    <sheetView showGridLines="0" showRowColHeaders="0" workbookViewId="0"/>
  </sheetViews>
  <sheetFormatPr defaultRowHeight="12" x14ac:dyDescent="0.2"/>
  <cols>
    <col min="7" max="7" width="1.33203125" customWidth="1"/>
  </cols>
  <sheetData>
    <row r="11" spans="1:14" ht="11.25" customHeight="1" x14ac:dyDescent="0.2"/>
    <row r="16" spans="1:14" ht="60" customHeight="1" x14ac:dyDescent="0.2">
      <c r="A16" s="614" t="s">
        <v>178</v>
      </c>
      <c r="B16" s="614"/>
      <c r="C16" s="614"/>
      <c r="D16" s="614"/>
      <c r="E16" s="614"/>
      <c r="F16" s="614"/>
      <c r="G16" s="614"/>
      <c r="H16" s="614"/>
      <c r="I16" s="614"/>
      <c r="J16" s="614"/>
      <c r="K16" s="614"/>
      <c r="L16" s="614"/>
      <c r="M16" s="614"/>
      <c r="N16" s="137"/>
    </row>
    <row r="17" spans="1:14" ht="33.75" customHeight="1" x14ac:dyDescent="0.2">
      <c r="A17" s="614" t="s">
        <v>26</v>
      </c>
      <c r="B17" s="614"/>
      <c r="C17" s="614"/>
      <c r="D17" s="614"/>
      <c r="E17" s="614"/>
      <c r="F17" s="614"/>
      <c r="G17" s="614"/>
      <c r="H17" s="614"/>
      <c r="I17" s="614"/>
      <c r="J17" s="614"/>
      <c r="K17" s="614"/>
      <c r="L17" s="614"/>
      <c r="M17" s="614"/>
      <c r="N17" s="137"/>
    </row>
    <row r="18" spans="1:14" ht="24.75" customHeight="1" x14ac:dyDescent="0.2">
      <c r="A18" s="625" t="s">
        <v>179</v>
      </c>
      <c r="B18" s="625"/>
      <c r="C18" s="625"/>
      <c r="D18" s="625"/>
      <c r="E18" s="625"/>
      <c r="F18" s="625"/>
      <c r="G18" s="625"/>
      <c r="H18" s="625"/>
      <c r="I18" s="625"/>
      <c r="J18" s="625"/>
      <c r="K18" s="625"/>
      <c r="L18" s="625"/>
      <c r="M18" s="625"/>
      <c r="N18" s="137"/>
    </row>
    <row r="19" spans="1:14" ht="11.25" customHeight="1" x14ac:dyDescent="0.2">
      <c r="A19" s="108"/>
      <c r="B19" s="108"/>
      <c r="C19" s="108"/>
      <c r="G19" s="607"/>
      <c r="H19" s="607"/>
    </row>
    <row r="20" spans="1:14" ht="13.8" x14ac:dyDescent="0.3">
      <c r="A20" s="620" t="s">
        <v>25</v>
      </c>
      <c r="B20" s="620"/>
      <c r="C20" s="620"/>
      <c r="D20" s="620"/>
      <c r="E20" s="620"/>
      <c r="F20" s="620"/>
      <c r="J20" s="595" t="s">
        <v>144</v>
      </c>
      <c r="K20" s="596"/>
      <c r="L20" s="596"/>
      <c r="M20" s="597"/>
    </row>
    <row r="21" spans="1:14" ht="12.75" customHeight="1" x14ac:dyDescent="0.2"/>
    <row r="38" spans="5:8" ht="13.8" x14ac:dyDescent="0.3">
      <c r="E38" s="595" t="s">
        <v>144</v>
      </c>
      <c r="F38" s="596"/>
      <c r="G38" s="596"/>
      <c r="H38" s="597"/>
    </row>
    <row r="39" spans="5:8" x14ac:dyDescent="0.2">
      <c r="E39" s="607"/>
      <c r="F39" s="607"/>
      <c r="G39" s="607"/>
    </row>
  </sheetData>
  <mergeCells count="8">
    <mergeCell ref="E38:H38"/>
    <mergeCell ref="E39:G39"/>
    <mergeCell ref="A16:M16"/>
    <mergeCell ref="A17:M17"/>
    <mergeCell ref="A18:M18"/>
    <mergeCell ref="A20:F20"/>
    <mergeCell ref="G19:H19"/>
    <mergeCell ref="J20:M20"/>
  </mergeCells>
  <phoneticPr fontId="53" type="noConversion"/>
  <hyperlinks>
    <hyperlink ref="E38:G38" location="Analysis!A1" display="Return to Analysis Summary " xr:uid="{00000000-0004-0000-1000-000000000000}"/>
    <hyperlink ref="J20:L20" location="Analysis!A1" display="Return to Analysis Summary " xr:uid="{00000000-0004-0000-1000-000001000000}"/>
  </hyperlinks>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tabColor indexed="46"/>
  </sheetPr>
  <dimension ref="A15:O19"/>
  <sheetViews>
    <sheetView showGridLines="0" showRowColHeaders="0" workbookViewId="0">
      <selection activeCell="E30" sqref="E30"/>
    </sheetView>
  </sheetViews>
  <sheetFormatPr defaultRowHeight="12" x14ac:dyDescent="0.2"/>
  <cols>
    <col min="8" max="8" width="1.6640625" customWidth="1"/>
  </cols>
  <sheetData>
    <row r="15" spans="1:15" ht="31.5" customHeight="1" x14ac:dyDescent="0.3">
      <c r="A15" s="626" t="s">
        <v>226</v>
      </c>
      <c r="B15" s="626"/>
      <c r="C15" s="626"/>
      <c r="D15" s="626"/>
      <c r="E15" s="626"/>
      <c r="F15" s="626"/>
      <c r="G15" s="626"/>
      <c r="H15" s="626"/>
      <c r="I15" s="626"/>
      <c r="J15" s="626"/>
      <c r="K15" s="626"/>
      <c r="L15" s="626"/>
      <c r="M15" s="626"/>
      <c r="N15" s="626"/>
      <c r="O15" s="626"/>
    </row>
    <row r="16" spans="1:15" ht="36" customHeight="1" x14ac:dyDescent="0.25">
      <c r="A16" s="605" t="s">
        <v>191</v>
      </c>
      <c r="B16" s="605"/>
      <c r="C16" s="605"/>
      <c r="D16" s="605"/>
      <c r="E16" s="605"/>
      <c r="F16" s="605"/>
      <c r="G16" s="605"/>
      <c r="H16" s="605"/>
      <c r="I16" s="605"/>
      <c r="J16" s="605"/>
      <c r="K16" s="605"/>
      <c r="L16" s="605"/>
      <c r="M16" s="605"/>
      <c r="N16" s="605"/>
      <c r="O16" s="605"/>
    </row>
    <row r="17" spans="1:15" s="73" customFormat="1" ht="37.5" customHeight="1" x14ac:dyDescent="0.25">
      <c r="A17" s="605" t="s">
        <v>190</v>
      </c>
      <c r="B17" s="605"/>
      <c r="C17" s="605"/>
      <c r="D17" s="605"/>
      <c r="E17" s="605"/>
      <c r="F17" s="605"/>
      <c r="G17" s="605"/>
      <c r="H17" s="605"/>
      <c r="I17" s="605"/>
      <c r="J17" s="605"/>
      <c r="K17" s="605"/>
      <c r="L17" s="605"/>
      <c r="M17" s="605"/>
      <c r="N17" s="605"/>
      <c r="O17" s="605"/>
    </row>
    <row r="19" spans="1:15" ht="13.8" x14ac:dyDescent="0.3">
      <c r="F19" s="595" t="s">
        <v>144</v>
      </c>
      <c r="G19" s="596"/>
      <c r="H19" s="597"/>
    </row>
  </sheetData>
  <mergeCells count="4">
    <mergeCell ref="F19:H19"/>
    <mergeCell ref="A15:O15"/>
    <mergeCell ref="A16:O16"/>
    <mergeCell ref="A17:O17"/>
  </mergeCells>
  <phoneticPr fontId="79" type="noConversion"/>
  <hyperlinks>
    <hyperlink ref="F19:H19" location="Analysis!A1" display="Return to Analysis Summary " xr:uid="{00000000-0004-0000-1100-000000000000}"/>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CC99FF"/>
  </sheetPr>
  <dimension ref="A15:O17"/>
  <sheetViews>
    <sheetView workbookViewId="0"/>
  </sheetViews>
  <sheetFormatPr defaultColWidth="9" defaultRowHeight="12" x14ac:dyDescent="0.2"/>
  <cols>
    <col min="8" max="8" width="1.44140625" customWidth="1"/>
  </cols>
  <sheetData>
    <row r="15" spans="1:15" ht="13.2" x14ac:dyDescent="0.25">
      <c r="A15" s="627" t="s">
        <v>183</v>
      </c>
      <c r="B15" s="627"/>
      <c r="C15" s="627"/>
      <c r="D15" s="627"/>
      <c r="E15" s="627"/>
      <c r="F15" s="627"/>
      <c r="G15" s="627"/>
      <c r="H15" s="627"/>
      <c r="I15" s="627"/>
      <c r="J15" s="627"/>
      <c r="K15" s="627"/>
      <c r="L15" s="627"/>
      <c r="M15" s="627"/>
      <c r="N15" s="627"/>
      <c r="O15" s="627"/>
    </row>
    <row r="17" spans="6:8" ht="13.8" x14ac:dyDescent="0.3">
      <c r="F17" s="595" t="s">
        <v>144</v>
      </c>
      <c r="G17" s="596"/>
      <c r="H17" s="597"/>
    </row>
  </sheetData>
  <mergeCells count="2">
    <mergeCell ref="A15:O15"/>
    <mergeCell ref="F17:H17"/>
  </mergeCells>
  <hyperlinks>
    <hyperlink ref="F17:H17" location="Analysis!A1" display="Return to Analysis Summary "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Sheet14">
    <tabColor indexed="57"/>
    <pageSetUpPr fitToPage="1"/>
  </sheetPr>
  <dimension ref="A1:AI176"/>
  <sheetViews>
    <sheetView showGridLines="0" showRowColHeaders="0" tabSelected="1" showOutlineSymbols="0" zoomScale="90" zoomScaleNormal="90" workbookViewId="0">
      <selection activeCell="K4" sqref="K4"/>
    </sheetView>
  </sheetViews>
  <sheetFormatPr defaultColWidth="9.6640625" defaultRowHeight="13.2" x14ac:dyDescent="0.25"/>
  <cols>
    <col min="1" max="1" width="3.44140625" style="35" customWidth="1"/>
    <col min="2" max="2" width="2.6640625" style="1" customWidth="1"/>
    <col min="3" max="3" width="28.6640625" style="1" customWidth="1"/>
    <col min="4" max="4" width="8.44140625" style="1" customWidth="1"/>
    <col min="5" max="5" width="11.77734375" style="1" customWidth="1"/>
    <col min="6" max="6" width="7.88671875" style="1" customWidth="1"/>
    <col min="7" max="8" width="8.109375" style="1" customWidth="1"/>
    <col min="9" max="9" width="37.6640625" style="1" customWidth="1"/>
    <col min="10" max="10" width="4" style="1" customWidth="1"/>
    <col min="11" max="11" width="10.77734375" style="1" customWidth="1"/>
    <col min="12" max="12" width="8.33203125" style="1" customWidth="1"/>
    <col min="13" max="13" width="4.88671875" style="1" customWidth="1"/>
    <col min="14" max="14" width="11.44140625" style="1" customWidth="1"/>
    <col min="15" max="15" width="12.44140625" style="1" customWidth="1"/>
    <col min="16" max="17" width="5" style="35" hidden="1" customWidth="1"/>
    <col min="18" max="18" width="5" style="1" hidden="1" customWidth="1"/>
    <col min="19" max="19" width="4.77734375" style="1" hidden="1" customWidth="1"/>
    <col min="20" max="21" width="4" style="1" hidden="1" customWidth="1"/>
    <col min="22" max="22" width="6.109375" style="1" customWidth="1"/>
    <col min="23" max="23" width="1.33203125" style="1" customWidth="1"/>
    <col min="24" max="24" width="9.44140625" style="1" customWidth="1"/>
    <col min="25" max="25" width="31.33203125" style="1" customWidth="1"/>
    <col min="26" max="16384" width="9.6640625" style="1"/>
  </cols>
  <sheetData>
    <row r="1" spans="1:35" ht="18.75" customHeight="1" thickBot="1" x14ac:dyDescent="0.5">
      <c r="B1" s="466" t="s">
        <v>189</v>
      </c>
      <c r="C1" s="466"/>
      <c r="D1" s="466"/>
      <c r="E1" s="460" t="s">
        <v>16</v>
      </c>
      <c r="F1" s="460"/>
      <c r="G1" s="460"/>
      <c r="H1" s="460"/>
      <c r="I1" s="460"/>
      <c r="J1" s="460"/>
      <c r="K1" s="460"/>
      <c r="L1" s="547" t="s">
        <v>1127</v>
      </c>
      <c r="M1" s="547"/>
      <c r="N1" s="547"/>
      <c r="O1" s="429" t="str">
        <f>IF(Data!G15="data missing", "It appears the most recent annual data are missing", "Financial Data from Zacks")</f>
        <v>Financial Data from Zacks</v>
      </c>
      <c r="P1" s="174"/>
      <c r="Q1" s="174"/>
      <c r="X1" s="188"/>
      <c r="Y1" s="189"/>
    </row>
    <row r="2" spans="1:35" ht="18" customHeight="1" thickBot="1" x14ac:dyDescent="0.35">
      <c r="B2" s="457" t="s">
        <v>288</v>
      </c>
      <c r="C2" s="458"/>
      <c r="D2" s="459"/>
      <c r="E2" s="95" t="s">
        <v>567</v>
      </c>
      <c r="F2" s="468" t="str">
        <f ca="1">Data!C74</f>
        <v>Apple (AAPL)</v>
      </c>
      <c r="G2" s="469"/>
      <c r="H2" s="469"/>
      <c r="I2" s="470"/>
      <c r="J2" s="452" t="s">
        <v>557</v>
      </c>
      <c r="K2" s="252"/>
      <c r="O2" s="431" t="str">
        <f>IF(AND(Cash="NA",ARThisYear="na",InventoriesThisYear="na"),"AN ERROR HAS OCCURRED.  CLOSE THE SPREADSHEET AND OPEN A NEW COPY.","")</f>
        <v/>
      </c>
      <c r="R2" s="48"/>
      <c r="S2" s="48"/>
      <c r="T2" s="48"/>
      <c r="W2" s="301"/>
      <c r="Y2" s="302"/>
    </row>
    <row r="3" spans="1:35" ht="21" customHeight="1" x14ac:dyDescent="0.3">
      <c r="B3" s="8"/>
      <c r="C3" s="254" t="s">
        <v>38</v>
      </c>
      <c r="F3" s="412"/>
      <c r="G3" s="412"/>
      <c r="H3" s="461" t="s">
        <v>39</v>
      </c>
      <c r="I3" s="462"/>
      <c r="J3" s="453"/>
      <c r="K3" s="632" t="str">
        <f>IF(COUNT(rngEarningsStatement)=8,"","  CAUTION: Data are missing--If near end of physcal year try again later")</f>
        <v xml:space="preserve">  CAUTION: Data are missing--If near end of physcal year try again later</v>
      </c>
      <c r="L3" s="632"/>
      <c r="M3" s="632"/>
      <c r="N3" s="632"/>
      <c r="O3" s="632"/>
      <c r="P3" s="632"/>
      <c r="Q3" s="632"/>
      <c r="R3" s="632"/>
      <c r="S3" s="632"/>
      <c r="T3" s="632"/>
      <c r="U3" s="632"/>
      <c r="V3" s="632"/>
      <c r="W3" s="632"/>
      <c r="X3" s="632"/>
      <c r="Y3" s="632"/>
    </row>
    <row r="4" spans="1:35" ht="18" customHeight="1" x14ac:dyDescent="0.35">
      <c r="B4" s="68"/>
      <c r="C4" s="415" t="str">
        <f>IF(D4="capitalization: SmallCap","(Less than 1 Billion in sales)",IF(D4="capitalization: MidCap","(5 Billion to 10 Billion in sales)",IF(D4="capitalization: largeCap","(Over 10 Billion in sales)")))</f>
        <v>(Less than 1 Billion in sales)</v>
      </c>
      <c r="D4" s="465" t="str">
        <f>IF(Data!G40&lt;=1000,"Capitalization: SmallCap",IF(Data!G40&gt;=10000,"Capitalization: LargeCap",IF(Data!G40&lt;500000,"Capitalization: MidCap","")))</f>
        <v>Capitalization: SmallCap</v>
      </c>
      <c r="E4" s="465"/>
      <c r="F4" s="467" t="s">
        <v>208</v>
      </c>
      <c r="G4" s="467"/>
      <c r="H4" s="467"/>
      <c r="I4" s="430">
        <f ca="1">Data!C17</f>
        <v>44834</v>
      </c>
      <c r="J4" s="454"/>
      <c r="K4" s="432" t="str">
        <f ca="1">IF(ISERROR(S75),"Error",S75)</f>
        <v>Error</v>
      </c>
      <c r="L4" s="377" t="s">
        <v>319</v>
      </c>
      <c r="M4" s="366">
        <f>U75</f>
        <v>96</v>
      </c>
      <c r="N4" s="366" t="str">
        <f ca="1">IF(T75&gt;693,"CAUTION: DATA ARE MISSING. Close the spreadsheet and open it again.",IF(T75=1,"Caution: One data item is missing",IF(ISERROR(K4),"&lt; #DIV/0 Indicates data are missing","Total Points for this analysis")))</f>
        <v>Total Points for this analysis</v>
      </c>
      <c r="O4" s="330"/>
      <c r="P4" s="330"/>
      <c r="Q4" s="330"/>
      <c r="R4" s="330"/>
      <c r="S4" s="367"/>
      <c r="T4" s="330"/>
      <c r="U4" s="368"/>
      <c r="V4" s="330"/>
      <c r="W4" s="330"/>
      <c r="Y4" s="428"/>
      <c r="Z4" s="428"/>
      <c r="AA4" s="428"/>
      <c r="AB4" s="428"/>
      <c r="AC4" s="428"/>
      <c r="AD4" s="428"/>
      <c r="AE4" s="428"/>
      <c r="AF4" s="428"/>
      <c r="AG4" s="428"/>
      <c r="AH4" s="428"/>
      <c r="AI4" s="428"/>
    </row>
    <row r="5" spans="1:35" ht="18" customHeight="1" x14ac:dyDescent="0.3">
      <c r="A5" s="173">
        <v>1</v>
      </c>
      <c r="B5" s="21" t="s">
        <v>40</v>
      </c>
      <c r="C5" s="16"/>
      <c r="D5" s="17"/>
      <c r="E5" s="18" t="s">
        <v>41</v>
      </c>
      <c r="F5" s="62">
        <f>IF(OR(X9&lt;=0,COUNT(X8,X9)&lt;2),0,(X8/X9)-1)</f>
        <v>0.18300780491593205</v>
      </c>
      <c r="G5" s="463" t="str">
        <f>IF(F5=0,"No Accounts receivable data are reported for this company",IF(F5&gt;0.001,"Oops - Wrong direction (Increasing)",IF(F12&lt;F5,"Right direction, but Sales is declining faster",IF(F5&lt;0,"OK!, Right direction (Decreasing)",""))))</f>
        <v>Oops - Wrong direction (Increasing)</v>
      </c>
      <c r="H5" s="464"/>
      <c r="I5" s="464"/>
      <c r="J5" s="373"/>
      <c r="K5" s="369" t="s">
        <v>24</v>
      </c>
      <c r="L5" s="370"/>
      <c r="M5" s="370"/>
      <c r="N5" s="370"/>
      <c r="O5" s="371"/>
      <c r="P5" s="240"/>
      <c r="Q5" s="240"/>
      <c r="R5" s="48"/>
      <c r="S5" s="367"/>
      <c r="T5" s="140"/>
      <c r="U5" s="368"/>
      <c r="V5" s="183" t="s">
        <v>31</v>
      </c>
      <c r="W5" s="35"/>
      <c r="X5" s="78" t="s">
        <v>124</v>
      </c>
      <c r="Y5" s="41" t="s">
        <v>116</v>
      </c>
      <c r="Z5" s="111"/>
      <c r="AA5" s="111"/>
    </row>
    <row r="6" spans="1:35" x14ac:dyDescent="0.25">
      <c r="A6" s="173"/>
      <c r="B6" s="2"/>
      <c r="C6" s="33" t="s">
        <v>98</v>
      </c>
      <c r="D6" s="67">
        <f>IF(ISNA(ARThisYear),"N/A",IF(OR(X22&lt;=0,COUNT(X8,X22)&lt;2),NA(),X8/(X22/365)))</f>
        <v>60.795917084225167</v>
      </c>
      <c r="E6" s="455" t="str">
        <f>IF(COUNT(F5)&lt;1,"",IF(AND(F12&gt;0,F5&gt;0),"Sales and Accounts Receivable are both increasing - If about equal, that's probably ok",IF(F5&gt;0,"Rising Accts. Rec. means customers aren't paying their bills","")))</f>
        <v>Sales and Accounts Receivable are both increasing - If about equal, that's probably ok</v>
      </c>
      <c r="F6" s="456"/>
      <c r="G6" s="456"/>
      <c r="H6" s="456"/>
      <c r="I6" s="456"/>
      <c r="J6" s="384">
        <v>1</v>
      </c>
      <c r="K6" s="577" t="str">
        <f>IF(F12&gt;F5,"Sales are increasing faster than Accts Receivable",IF(F$5&lt;0,"Accounts Receivable is decreasing",""))</f>
        <v>Sales are increasing faster than Accts Receivable</v>
      </c>
      <c r="L6" s="578"/>
      <c r="M6" s="578"/>
      <c r="N6" s="578"/>
      <c r="O6" s="578"/>
      <c r="P6" s="244">
        <f>IF(K6="Sales is increasing faster than Accts Receivable",Q6,0)</f>
        <v>0</v>
      </c>
      <c r="Q6" s="244">
        <v>4</v>
      </c>
      <c r="R6" s="48">
        <f>IF(ISNA(D6),"N/A",IF(D6&lt;45,1,IF(D6&lt;60,1,0)))</f>
        <v>0</v>
      </c>
      <c r="S6" s="48">
        <f t="shared" ref="S6:S9" si="0">IF(T6=99,"",IF(R6&gt;0,R6*3,0))</f>
        <v>0</v>
      </c>
      <c r="T6" s="140" t="str">
        <f>IF(ISERROR(R6),99,"")</f>
        <v/>
      </c>
      <c r="U6" s="35">
        <v>4</v>
      </c>
      <c r="V6" s="171" t="str">
        <f>IF(OR(K6="Sales is increasing faster than Accts Receivable",K6="Accounts Receivable is decreasing"),"Line 1","")</f>
        <v/>
      </c>
      <c r="W6" s="35"/>
      <c r="X6" s="79"/>
      <c r="Y6" s="80" t="s">
        <v>134</v>
      </c>
    </row>
    <row r="7" spans="1:35" x14ac:dyDescent="0.25">
      <c r="A7" s="173"/>
      <c r="B7" s="2"/>
      <c r="C7" s="33" t="s">
        <v>99</v>
      </c>
      <c r="D7" s="356">
        <f>IF(OR(X23&lt;=0,COUNT(X9,X23)&lt;2),NA(),X9/(X23/365))</f>
        <v>68.483288709178012</v>
      </c>
      <c r="E7" s="455" t="str">
        <f>IF(ISNA(F5),"N/A",IF(AND(F5&lt;0,F9&gt;0),"Accounts Receivable are decreasing but Inventories are increasing - why?",IF(AND(F5&gt;0,F9&gt;0),"Inventories are also increasing - are the increases substantial?",IF(AND(F5&lt;0,F9&lt;0),"Good - Both Accounts Receivable and Inventories are decreasing","If Sales are increasing at a similar rate, good"))))</f>
        <v>If Sales are increasing at a similar rate, good</v>
      </c>
      <c r="F7" s="456"/>
      <c r="G7" s="456"/>
      <c r="H7" s="456"/>
      <c r="I7" s="456"/>
      <c r="J7" s="43"/>
      <c r="K7" s="376" t="str">
        <f>IF(ISERROR(F9),"",IF(F12&gt;F9,"Sales are growing faster than Inventories",IF(F$9&lt;0,"Inventories are decreasing","")))</f>
        <v>Sales are growing faster than Inventories</v>
      </c>
      <c r="L7" s="362"/>
      <c r="M7" s="362"/>
      <c r="N7" s="362"/>
      <c r="O7" s="362"/>
      <c r="P7" s="244">
        <f>IF(K7="Sales are growing faster than Inventories",Q7,0)</f>
        <v>4</v>
      </c>
      <c r="Q7" s="244">
        <v>4</v>
      </c>
      <c r="R7" s="48">
        <f>IF(E6="Sales and Accounts Receivable are both increasing - If about equal, that's probably ok",1,0)</f>
        <v>1</v>
      </c>
      <c r="S7" s="48">
        <f t="shared" si="0"/>
        <v>3</v>
      </c>
      <c r="T7" s="140" t="str">
        <f>IF(ISERROR(R7),99,"")</f>
        <v/>
      </c>
      <c r="U7" s="35">
        <v>4</v>
      </c>
      <c r="V7" s="171" t="str">
        <f>IF(OR(K7="Sales are growing faster than inventories",K7="Inventories are decreasing"),"Line 2","")</f>
        <v>Line 2</v>
      </c>
      <c r="W7" s="35"/>
      <c r="X7" s="258">
        <f>Data!C19</f>
        <v>48304</v>
      </c>
      <c r="Y7" s="28" t="s">
        <v>139</v>
      </c>
    </row>
    <row r="8" spans="1:35" x14ac:dyDescent="0.25">
      <c r="A8" s="173"/>
      <c r="B8" s="2"/>
      <c r="D8" s="357" t="s">
        <v>552</v>
      </c>
      <c r="E8" s="358"/>
      <c r="F8" s="358"/>
      <c r="G8" s="358"/>
      <c r="H8" s="358"/>
      <c r="I8" s="359"/>
      <c r="J8" s="385" t="s">
        <v>216</v>
      </c>
      <c r="K8" s="524" t="str">
        <f>IF(F$12&gt;0,"Sales are increasing","")</f>
        <v>Sales are increasing</v>
      </c>
      <c r="L8" s="525"/>
      <c r="M8" s="525"/>
      <c r="N8" s="525"/>
      <c r="O8" s="525"/>
      <c r="P8" s="244">
        <f>IF(K8="Sales are increasing",Q8,0)</f>
        <v>4</v>
      </c>
      <c r="Q8" s="244">
        <v>4</v>
      </c>
      <c r="R8" s="48">
        <f>IF(G9="whoa, wrong direction (increasing)",0,IF(G9="yes! - Right direction (Decreasing)",1))</f>
        <v>1</v>
      </c>
      <c r="S8" s="48">
        <f t="shared" si="0"/>
        <v>3</v>
      </c>
      <c r="T8" s="140" t="str">
        <f t="shared" ref="T8:T73" si="1">IF(ISERROR(R8),99,"")</f>
        <v/>
      </c>
      <c r="U8" s="35">
        <v>4</v>
      </c>
      <c r="V8" s="171" t="str">
        <f>IF(K8="Sales are increasing","Line 3","")</f>
        <v>Line 3</v>
      </c>
      <c r="W8" s="35"/>
      <c r="X8" s="259">
        <f>Data!M9</f>
        <v>60932</v>
      </c>
      <c r="Y8" s="9" t="s">
        <v>42</v>
      </c>
    </row>
    <row r="9" spans="1:35" ht="13.5" customHeight="1" x14ac:dyDescent="0.25">
      <c r="A9" s="173">
        <v>2</v>
      </c>
      <c r="B9" s="471" t="s">
        <v>46</v>
      </c>
      <c r="C9" s="472"/>
      <c r="D9" s="473"/>
      <c r="E9" s="18" t="s">
        <v>41</v>
      </c>
      <c r="F9" s="62">
        <f>IF(InventoriesThisYear=0,0,IF(OR(X11&lt;=0,COUNT(X10,X11)&lt;2),NA(),(X10/X11)-1))</f>
        <v>-0.2483282674772036</v>
      </c>
      <c r="G9" s="463" t="str">
        <f>IF(F9=0,"No Inventory data are reported for this company",IF(COUNT(F9)&lt;1,"",IF(F9&gt;0.001,"Whoa, wrong direction (Increasing)",IF(F9&lt;0,"YES! - Right direction (Decreasing)",""))))</f>
        <v>YES! - Right direction (Decreasing)</v>
      </c>
      <c r="H9" s="464"/>
      <c r="I9" s="464"/>
      <c r="J9" s="43"/>
      <c r="K9" s="524" t="str">
        <f>IF(ISERROR(E15),"",IF(F$12&gt;E$15,"Sales are increasing faster than Cost of Sales",""))</f>
        <v/>
      </c>
      <c r="L9" s="525"/>
      <c r="M9" s="525"/>
      <c r="N9" s="525"/>
      <c r="O9" s="525"/>
      <c r="P9" s="244">
        <f>IF(K9="Sales are increasing faster than Cost of Sales",Q9,0)</f>
        <v>0</v>
      </c>
      <c r="Q9" s="244">
        <v>4</v>
      </c>
      <c r="R9" s="48">
        <f>IF(E10="CAUTION -- Both Accts. Receivable &amp; Inventories are increasing",0,IF(E10="Both Accts Rec. &amp; Inventories are decreasing, that's positive.",1,0))</f>
        <v>0</v>
      </c>
      <c r="S9" s="48">
        <f t="shared" si="0"/>
        <v>0</v>
      </c>
      <c r="T9" s="140" t="str">
        <f t="shared" si="1"/>
        <v/>
      </c>
      <c r="U9" s="35">
        <v>4</v>
      </c>
      <c r="V9" s="171" t="str">
        <f>IF(K9="Sales are increasing faster than Cost of Sales","Line 4","")</f>
        <v/>
      </c>
      <c r="W9" s="35"/>
      <c r="X9" s="260">
        <f>Data!L9</f>
        <v>51506</v>
      </c>
      <c r="Y9" s="10" t="s">
        <v>43</v>
      </c>
    </row>
    <row r="10" spans="1:35" x14ac:dyDescent="0.25">
      <c r="A10" s="173"/>
      <c r="B10" s="32"/>
      <c r="C10" s="33" t="s">
        <v>90</v>
      </c>
      <c r="D10" s="67">
        <f>Data!M27</f>
        <v>14.792438334007278</v>
      </c>
      <c r="E10" s="455" t="str">
        <f>IF(COUNT(F9,F5)&lt;2,"",IF(AND(F9&gt;0,F5&gt;0),"CAUTION -- Both Accts. Receivable &amp; Inventories are increasing",IF(AND(F9&lt;0,F5&lt;0),"Both Accts Rec. &amp; Inventories are decreasing, that's positive.",IF(F9&gt;0,"If Sales are flat or decreasing, Caution",""))))</f>
        <v/>
      </c>
      <c r="F10" s="456"/>
      <c r="G10" s="456"/>
      <c r="H10" s="456"/>
      <c r="I10" s="456"/>
      <c r="J10" s="43"/>
      <c r="K10" s="575" t="str">
        <f>IF(ISERROR(F$21),"This company has no long term debt",IF(F$21&lt;0,"Debt is decreasing",""))</f>
        <v/>
      </c>
      <c r="L10" s="576"/>
      <c r="M10" s="576"/>
      <c r="N10" s="576"/>
      <c r="O10" s="576"/>
      <c r="P10" s="244">
        <f>IF(K10="Debt is decreasing",Q10,0)</f>
        <v>0</v>
      </c>
      <c r="Q10" s="244">
        <v>4</v>
      </c>
      <c r="R10" s="48">
        <f>IF(E11="CAUTION -- Both Accts. Receivable &amp; Inventories are increasing",0,IF(E11="Both Accts Rec. &amp; Inventories are decreasing, that's positive.",1,0))</f>
        <v>0</v>
      </c>
      <c r="S10" s="48">
        <f t="shared" ref="S10" si="2">IF(T10=99,"",IF(R10&gt;0,R10*3,0))</f>
        <v>0</v>
      </c>
      <c r="T10" s="140" t="str">
        <f t="shared" si="1"/>
        <v/>
      </c>
      <c r="U10" s="35">
        <v>3</v>
      </c>
      <c r="V10" s="171" t="str">
        <f>IF(K10="Debt is decreasing","Line 6","")</f>
        <v/>
      </c>
      <c r="W10" s="35"/>
      <c r="X10" s="277">
        <f>Data!M11</f>
        <v>4946</v>
      </c>
      <c r="Y10" s="9" t="s">
        <v>44</v>
      </c>
    </row>
    <row r="11" spans="1:35" x14ac:dyDescent="0.25">
      <c r="A11" s="173"/>
      <c r="B11" s="32"/>
      <c r="C11" s="34" t="s">
        <v>91</v>
      </c>
      <c r="D11" s="31"/>
      <c r="E11" s="478" t="str">
        <f>IF(COUNT(F9)&lt;1,"",IF(F9&gt;0,"If Inventories are rising faster than sales, competition or pricing are likely the problem",""))</f>
        <v/>
      </c>
      <c r="F11" s="478"/>
      <c r="G11" s="478"/>
      <c r="H11" s="478"/>
      <c r="I11" s="478"/>
      <c r="J11" s="384">
        <v>2</v>
      </c>
      <c r="K11" s="524" t="str">
        <f>IF(ISERROR(F$27),"",IF(F$27&gt;5,"Interest Coverage is reasonable",""))</f>
        <v/>
      </c>
      <c r="L11" s="525"/>
      <c r="M11" s="525"/>
      <c r="N11" s="525"/>
      <c r="O11" s="525"/>
      <c r="P11" s="244">
        <f>IF(K11="Interest Coverage is reasonable",Q11,0)</f>
        <v>0</v>
      </c>
      <c r="Q11" s="244">
        <v>4</v>
      </c>
      <c r="R11" s="48">
        <f>IF(G12="Way to GO! (Increasing)",1,IF(G12="Oh-Oh - Wrong way",0))</f>
        <v>1</v>
      </c>
      <c r="S11" s="48">
        <f t="shared" ref="S11:S18" si="3">IF(T11=99,"",IF(R11&gt;0,R11*3,0))</f>
        <v>3</v>
      </c>
      <c r="T11" s="140" t="str">
        <f t="shared" si="1"/>
        <v/>
      </c>
      <c r="U11" s="35">
        <v>3</v>
      </c>
      <c r="V11" s="171" t="str">
        <f>IF(K11="Interest Coverage is reasonable","Line 8","")</f>
        <v/>
      </c>
      <c r="W11" s="35"/>
      <c r="X11" s="278">
        <f>Data!L11</f>
        <v>6580</v>
      </c>
      <c r="Y11" s="10" t="s">
        <v>45</v>
      </c>
    </row>
    <row r="12" spans="1:35" x14ac:dyDescent="0.25">
      <c r="A12" s="173">
        <v>3</v>
      </c>
      <c r="B12" s="471" t="s">
        <v>51</v>
      </c>
      <c r="C12" s="472"/>
      <c r="D12" s="19"/>
      <c r="E12" s="18" t="s">
        <v>41</v>
      </c>
      <c r="F12" s="62">
        <f>IF(OR(X23&lt;=0,COUNT(X22,X23)&lt;2),NA(),(X22/X23)-1)</f>
        <v>0.33259384733074704</v>
      </c>
      <c r="G12" s="463" t="str">
        <f>IF(COUNT(F12)&lt;1,"",IF(F12&gt;0,"Way to GO! (Increasing)","Oh-Oh - Wrong way"))</f>
        <v>Way to GO! (Increasing)</v>
      </c>
      <c r="H12" s="464"/>
      <c r="I12" s="464"/>
      <c r="J12" s="44"/>
      <c r="K12" s="524" t="str">
        <f>IF(ISERROR(E30),"",IF(E$30&gt;G$30,"Gross Profit Margin is growing",""))</f>
        <v>Gross Profit Margin is growing</v>
      </c>
      <c r="L12" s="525"/>
      <c r="M12" s="525"/>
      <c r="N12" s="525"/>
      <c r="O12" s="525"/>
      <c r="P12" s="244">
        <f>IF(K12="Gross Profit Margin is growing",Q12,0)</f>
        <v>4</v>
      </c>
      <c r="Q12" s="244">
        <v>4</v>
      </c>
      <c r="R12" s="48">
        <f>IF(E13="Caution - Accts Receivables growing faster than sales",0,IF(E13="OK (Sales growing faster than Accts Receivable)",1,0))</f>
        <v>1</v>
      </c>
      <c r="S12" s="48">
        <f t="shared" si="3"/>
        <v>3</v>
      </c>
      <c r="T12" s="140" t="str">
        <f t="shared" si="1"/>
        <v/>
      </c>
      <c r="U12" s="35">
        <v>3</v>
      </c>
      <c r="V12" s="171" t="str">
        <f>IF(K12="Gross Profit Margin is growing","Line 9","")</f>
        <v>Line 9</v>
      </c>
      <c r="W12" s="35"/>
      <c r="X12" s="279">
        <f>Data!M13</f>
        <v>135405</v>
      </c>
      <c r="Y12" s="25" t="s">
        <v>47</v>
      </c>
    </row>
    <row r="13" spans="1:35" x14ac:dyDescent="0.25">
      <c r="A13" s="173"/>
      <c r="B13" s="2"/>
      <c r="C13" s="4" t="s">
        <v>53</v>
      </c>
      <c r="D13" s="2"/>
      <c r="E13" s="477" t="str">
        <f>IF(COUNT(F5,F12)&lt;2,"",IF(F5&gt;F12,"Caution - Accts Receivables growing faster than sales","OK (Sales growing faster than Accts Receivable)"))</f>
        <v>OK (Sales growing faster than Accts Receivable)</v>
      </c>
      <c r="F13" s="477"/>
      <c r="G13" s="477"/>
      <c r="H13" s="477"/>
      <c r="I13" s="477"/>
      <c r="J13" s="385" t="s">
        <v>187</v>
      </c>
      <c r="K13" s="524" t="str">
        <f>IF(F32&lt;0,"Shares outstanding are decreasing","")</f>
        <v/>
      </c>
      <c r="L13" s="525"/>
      <c r="M13" s="525"/>
      <c r="N13" s="525"/>
      <c r="O13" s="525"/>
      <c r="P13" s="244">
        <f>IF(K13="Shares outstanding are decreasing",Q13,0)</f>
        <v>0</v>
      </c>
      <c r="Q13" s="244">
        <v>4</v>
      </c>
      <c r="R13" s="48">
        <f>IF(E14="Caution: Inventories growing faster than sales",0,IF(E14="Sales to Inventories ratio is OK (Sales growing faster than Inventories)",1,0))</f>
        <v>1</v>
      </c>
      <c r="S13" s="48">
        <f t="shared" si="3"/>
        <v>3</v>
      </c>
      <c r="T13" s="140" t="str">
        <f t="shared" si="1"/>
        <v/>
      </c>
      <c r="U13" s="35">
        <v>3</v>
      </c>
      <c r="V13" s="171" t="str">
        <f>IF(K13="Shares outstanding are decreasing","Line 10","")</f>
        <v/>
      </c>
      <c r="W13" s="35"/>
      <c r="X13" s="263">
        <f>Data!G22</f>
        <v>41304</v>
      </c>
      <c r="Y13" s="11" t="s">
        <v>48</v>
      </c>
    </row>
    <row r="14" spans="1:35" x14ac:dyDescent="0.25">
      <c r="A14" s="173"/>
      <c r="B14" s="2"/>
      <c r="C14" s="4" t="s">
        <v>55</v>
      </c>
      <c r="D14" s="2"/>
      <c r="E14" s="477" t="str">
        <f>IF(F9&gt;F12,"Caution: Inventories growing faster than sales","Sales to Inventories ratio is OK (Sales growing faster than Inventories)")</f>
        <v>Sales to Inventories ratio is OK (Sales growing faster than Inventories)</v>
      </c>
      <c r="F14" s="477"/>
      <c r="G14" s="477"/>
      <c r="H14" s="477"/>
      <c r="I14" s="477"/>
      <c r="J14" s="43"/>
      <c r="K14" s="524" t="e">
        <f>IF(F$34&gt;=F$12,"Cash flow is growing faster than Sales","")</f>
        <v>#VALUE!</v>
      </c>
      <c r="L14" s="525"/>
      <c r="M14" s="525"/>
      <c r="N14" s="525"/>
      <c r="O14" s="525"/>
      <c r="P14" s="244" t="e">
        <f>IF(K14="Cash flow is growing faster than Sales",Q14,0)</f>
        <v>#VALUE!</v>
      </c>
      <c r="Q14" s="244">
        <v>4</v>
      </c>
      <c r="R14" s="48">
        <f>IF(F15="Caution - Why is it increasing?",-1,IF(F15="Cost of Sales is increasing but so is Sales",1,0))</f>
        <v>0</v>
      </c>
      <c r="S14" s="48">
        <f t="shared" si="3"/>
        <v>0</v>
      </c>
      <c r="T14" s="140" t="str">
        <f t="shared" si="1"/>
        <v/>
      </c>
      <c r="U14" s="35">
        <v>4</v>
      </c>
      <c r="V14" s="171" t="e">
        <f>IF(K14="Cash flow is growing faster than Sales","Line 11","")</f>
        <v>#VALUE!</v>
      </c>
      <c r="W14" s="35"/>
      <c r="X14" s="260">
        <f>Data!L22</f>
        <v>39440</v>
      </c>
      <c r="Y14" s="10" t="s">
        <v>49</v>
      </c>
    </row>
    <row r="15" spans="1:35" x14ac:dyDescent="0.25">
      <c r="A15" s="173">
        <v>4</v>
      </c>
      <c r="B15" s="471" t="s">
        <v>64</v>
      </c>
      <c r="C15" s="472"/>
      <c r="D15" s="45" t="str">
        <f>IF(COUNT(E15)&lt;1,"",IF(E15&lt;0.01,"Down",IF(E15&gt;0.01,"Up","Even")))</f>
        <v/>
      </c>
      <c r="E15" s="142" t="e">
        <f>IF(COUNT(X24,X25)&lt;2,NA(),(X24/X25)-1)</f>
        <v>#N/A</v>
      </c>
      <c r="F15" s="475" t="str">
        <f>IF(COUNT(E15)&lt;1,"",IF(E15&lt;0.03,"A small change isn't considered too serious",IF(F12&gt;E15,"Cost of Sales is increasing but so is Sales",IF(E15&gt;0.03,"Caution - Why is it increasing?",""))))</f>
        <v/>
      </c>
      <c r="G15" s="476"/>
      <c r="H15" s="476"/>
      <c r="I15" s="476"/>
      <c r="K15" s="524" t="str">
        <f>IF(F$39&gt;0.1,"Free cash flow growth is excellent","")</f>
        <v>Free cash flow growth is excellent</v>
      </c>
      <c r="L15" s="525"/>
      <c r="M15" s="525"/>
      <c r="N15" s="525"/>
      <c r="O15" s="525"/>
      <c r="P15" s="244">
        <f>IF(K15="Free cash flow growth is excellent",Q15,0)</f>
        <v>4</v>
      </c>
      <c r="Q15" s="244">
        <v>4</v>
      </c>
      <c r="R15" s="48">
        <f>IF(F16="CAUTION - Cost of Sales increasing faster than Sales",-1,IF(F16="Good - Sales increasing faster than Cost of Sales",1,0))</f>
        <v>0</v>
      </c>
      <c r="S15" s="48">
        <f t="shared" si="3"/>
        <v>0</v>
      </c>
      <c r="T15" s="140" t="str">
        <f t="shared" si="1"/>
        <v/>
      </c>
      <c r="U15" s="35">
        <v>4</v>
      </c>
      <c r="V15" s="171" t="str">
        <f>IF(K15="Free cash flow growth is excellent","Line13","")</f>
        <v>Line13</v>
      </c>
      <c r="W15" s="35"/>
      <c r="X15" s="262">
        <f>Data!M25</f>
        <v>153982</v>
      </c>
      <c r="Y15" s="25" t="s">
        <v>50</v>
      </c>
    </row>
    <row r="16" spans="1:35" x14ac:dyDescent="0.25">
      <c r="A16" s="173"/>
      <c r="B16" s="32" t="s">
        <v>118</v>
      </c>
      <c r="C16" s="2"/>
      <c r="D16" s="2"/>
      <c r="F16" s="474" t="str">
        <f>IF(ISERROR(E15),"Data is missing or not available",IF((X24/X25)&gt;(X22/X23),"CAUTION - Cost of Sales increasing faster than Sales","Good - Sales increasing faster than Cost of Sales"))</f>
        <v>Data is missing or not available</v>
      </c>
      <c r="G16" s="474"/>
      <c r="H16" s="474"/>
      <c r="I16" s="474"/>
      <c r="J16" s="43"/>
      <c r="K16" s="524" t="str">
        <f ca="1">IF(F$41*100&gt;X$35,"Return on Free Cash flow is good","")</f>
        <v>Return on Free Cash flow is good</v>
      </c>
      <c r="L16" s="525"/>
      <c r="M16" s="525"/>
      <c r="N16" s="525"/>
      <c r="O16" s="525"/>
      <c r="P16" s="244">
        <f ca="1">IF(K16="Return on Free Cash flow is good",Q16,0)</f>
        <v>4</v>
      </c>
      <c r="Q16" s="244">
        <v>4</v>
      </c>
      <c r="R16" s="48">
        <f>IF(F17="CAUTION - Cost of Sales increasing faster than Sales",-1,IF(F17="Good - Sales increasing faster than Cost of Sales",1,0))</f>
        <v>-1</v>
      </c>
      <c r="S16" s="48">
        <f t="shared" si="3"/>
        <v>0</v>
      </c>
      <c r="T16" s="140" t="str">
        <f t="shared" ref="T16" si="4">IF(ISERROR(R16),99,"")</f>
        <v/>
      </c>
      <c r="U16" s="35">
        <v>4</v>
      </c>
      <c r="V16" s="171" t="str">
        <f ca="1">IF(K16="Return on Free Cash flow is good","Line 14","")</f>
        <v>Line 14</v>
      </c>
      <c r="W16" s="35"/>
      <c r="X16" s="259">
        <f>IF(ISERROR(Data!G30),0,Data!G30)</f>
        <v>93735</v>
      </c>
      <c r="Y16" s="9" t="s">
        <v>52</v>
      </c>
    </row>
    <row r="17" spans="1:25" x14ac:dyDescent="0.25">
      <c r="A17" s="173"/>
      <c r="B17" s="2"/>
      <c r="C17" s="4"/>
      <c r="D17" s="2"/>
      <c r="E17" s="84"/>
      <c r="F17" s="84"/>
      <c r="G17" s="84"/>
      <c r="H17" s="84"/>
      <c r="I17" s="84"/>
      <c r="J17" s="43"/>
      <c r="K17" s="579" t="str">
        <f>IF(F$48&gt;0.1,"Return on Assets is adequate","")</f>
        <v/>
      </c>
      <c r="L17" s="580"/>
      <c r="M17" s="580"/>
      <c r="N17" s="580"/>
      <c r="O17" s="580"/>
      <c r="P17" s="244">
        <f>IF(K17="Return on Assets is adequate",Q17,0)</f>
        <v>0</v>
      </c>
      <c r="Q17" s="244">
        <v>4</v>
      </c>
      <c r="R17" s="48">
        <f>IF(G18="Caution - The investment in PP&amp;E is flat or decreasing",-1,IF(G18="OK - (Sales should grow as fast)",1,0))</f>
        <v>1</v>
      </c>
      <c r="S17" s="48">
        <f t="shared" si="3"/>
        <v>3</v>
      </c>
      <c r="T17" s="140" t="str">
        <f t="shared" si="1"/>
        <v/>
      </c>
      <c r="U17" s="35">
        <v>3</v>
      </c>
      <c r="V17" s="171" t="str">
        <f>IF(K17="Return on Assets is adequate","Line 17","")</f>
        <v/>
      </c>
      <c r="W17" s="35"/>
      <c r="X17" s="261">
        <f>IF(ISERROR(Data!F30),0,Data!F30)</f>
        <v>91807</v>
      </c>
      <c r="Y17" s="10" t="s">
        <v>54</v>
      </c>
    </row>
    <row r="18" spans="1:25" x14ac:dyDescent="0.25">
      <c r="A18" s="173">
        <v>5</v>
      </c>
      <c r="B18" s="471" t="s">
        <v>58</v>
      </c>
      <c r="C18" s="472"/>
      <c r="D18" s="16"/>
      <c r="E18" s="20" t="s">
        <v>41</v>
      </c>
      <c r="F18" s="63">
        <f>IF(COUNT(X13,X14)&lt;2,NA(),X13/X14-1)</f>
        <v>4.7261663286004119E-2</v>
      </c>
      <c r="G18" s="463" t="str">
        <f>IF(COUNT(F18)&lt;1,"",IF(F18&gt;0,"OK - (Sales should grow as fast)","Caution - The investment in PP&amp;E is flat or decreasing"))</f>
        <v>OK - (Sales should grow as fast)</v>
      </c>
      <c r="H18" s="464"/>
      <c r="I18" s="464"/>
      <c r="J18" s="43"/>
      <c r="K18" s="579" t="str">
        <f>IF(F$50&gt;0.15,"Return on Equity is adequate","")</f>
        <v/>
      </c>
      <c r="L18" s="580"/>
      <c r="M18" s="580"/>
      <c r="N18" s="580"/>
      <c r="O18" s="580"/>
      <c r="P18" s="244">
        <f>IF(K18="Return on Equity is adequate",Q18,0)</f>
        <v>0</v>
      </c>
      <c r="Q18" s="244">
        <v>4</v>
      </c>
      <c r="R18" s="48">
        <f>IF(F19="Oops - Sales aren't growing as fast",-1,IF(F19="Way to GO! Sales are growing faster",1,0))</f>
        <v>1</v>
      </c>
      <c r="S18" s="48">
        <f t="shared" si="3"/>
        <v>3</v>
      </c>
      <c r="T18" s="140" t="str">
        <f t="shared" si="1"/>
        <v/>
      </c>
      <c r="U18" s="35">
        <v>3</v>
      </c>
      <c r="V18" s="171" t="str">
        <f>IF(K18="Return on Equity is adequate","Line 18","")</f>
        <v/>
      </c>
      <c r="W18" s="35"/>
      <c r="X18" s="264">
        <f>Data!G32</f>
        <v>18981.599999999999</v>
      </c>
      <c r="Y18" s="12" t="s">
        <v>56</v>
      </c>
    </row>
    <row r="19" spans="1:25" x14ac:dyDescent="0.25">
      <c r="A19" s="173"/>
      <c r="B19" s="2"/>
      <c r="C19" s="6" t="s">
        <v>60</v>
      </c>
      <c r="D19" s="2"/>
      <c r="E19" s="2"/>
      <c r="F19" s="533" t="str">
        <f>IF(COUNT(F12,F18)&lt;2,"",IF(F12&gt;F18,"Way to GO! Sales are growing faster","Oops - Sales aren't growing as fast"))</f>
        <v>Way to GO! Sales are growing faster</v>
      </c>
      <c r="G19" s="533"/>
      <c r="H19" s="533"/>
      <c r="I19" s="533"/>
      <c r="J19" s="385">
        <v>3</v>
      </c>
      <c r="K19" s="524" t="str">
        <f>IF(ISERROR(Net_Income),"",IF(E$55&lt;F$55,"Net Cash is growing faster than Net Income",""))</f>
        <v/>
      </c>
      <c r="L19" s="525"/>
      <c r="M19" s="525"/>
      <c r="N19" s="525"/>
      <c r="O19" s="525"/>
      <c r="P19" s="244">
        <f>IF(K19="Net Cash is growing faster than Net Income",Q19,0)</f>
        <v>0</v>
      </c>
      <c r="Q19" s="244">
        <v>4</v>
      </c>
      <c r="R19" s="48"/>
      <c r="S19" s="48"/>
      <c r="T19" s="140" t="str">
        <f t="shared" si="1"/>
        <v/>
      </c>
      <c r="U19" s="35"/>
      <c r="V19" s="171" t="str">
        <f>IF(K19="Net Cash is growing faster than Net Income","Line 20","")</f>
        <v/>
      </c>
      <c r="W19" s="35"/>
      <c r="X19" s="265">
        <f>Data!F32</f>
        <v>17773</v>
      </c>
      <c r="Y19" s="10" t="s">
        <v>57</v>
      </c>
    </row>
    <row r="20" spans="1:25" x14ac:dyDescent="0.25">
      <c r="A20" s="173"/>
      <c r="B20" s="2"/>
      <c r="C20" s="2"/>
      <c r="D20" s="2"/>
      <c r="E20" s="2"/>
      <c r="F20" s="536"/>
      <c r="G20" s="536"/>
      <c r="H20" s="536"/>
      <c r="I20" s="536"/>
      <c r="J20" s="43"/>
      <c r="K20" s="524" t="str">
        <f ca="1">IF(E$57&gt;(CurrentPrice*0.1),"Cash Position per Share is worth noting","")</f>
        <v/>
      </c>
      <c r="L20" s="525"/>
      <c r="M20" s="525"/>
      <c r="N20" s="525"/>
      <c r="O20" s="525"/>
      <c r="P20" s="244">
        <f ca="1">IF(K20="Cash Position per Share is worth noting",Q20,0)</f>
        <v>0</v>
      </c>
      <c r="Q20" s="244">
        <v>4</v>
      </c>
      <c r="R20" s="48">
        <f>IF(ISERROR(F21),"",IF(LTDebtThisYEar=0,1,IF(G21="Wrong direction (Increasing)",-1,IF(G21="Right direction (Decreasing)",1,0))))</f>
        <v>-1</v>
      </c>
      <c r="S20" s="48">
        <f>IF(T20=99,"",IF(R20&gt;0,R20*3,0))</f>
        <v>0</v>
      </c>
      <c r="T20" s="140" t="str">
        <f t="shared" si="1"/>
        <v/>
      </c>
      <c r="U20" s="35">
        <v>2</v>
      </c>
      <c r="V20" s="171" t="str">
        <f ca="1">IF(K20="Cash Position per Share is worth noting","Line 21","")</f>
        <v/>
      </c>
      <c r="W20" s="35"/>
      <c r="X20" s="262">
        <f>Data!G28</f>
        <v>43373</v>
      </c>
      <c r="Y20" s="25" t="s">
        <v>59</v>
      </c>
    </row>
    <row r="21" spans="1:25" x14ac:dyDescent="0.25">
      <c r="A21" s="173">
        <v>6</v>
      </c>
      <c r="B21" s="471" t="s">
        <v>62</v>
      </c>
      <c r="C21" s="472"/>
      <c r="D21" s="19"/>
      <c r="E21" s="18" t="s">
        <v>41</v>
      </c>
      <c r="F21" s="62">
        <f>IF(AND(LTDebtThisYEar&gt;0,LTDebtLastYear=0),1,IF(LTDebtThisYEar+LTDebtLastYear&gt;0,X16/X17-1,0))</f>
        <v>2.100057729802729E-2</v>
      </c>
      <c r="G21" s="534" t="str">
        <f>IF(ISERROR(LTDebtThisYEar),"Company has no debt or it has not been reported",IF(AND(F21&gt;"0",LTDebtLastYear="0"),"Company has taken on new debt this year",IF(LTDebtThisYEar=0,"No long term debt can be very positive",IF(F21&gt;0.02,"Wrong direction (Increasing)",IF(F21&lt;0,"Right direction (Decreasing)","No substantial change")))))</f>
        <v>Wrong direction (Increasing)</v>
      </c>
      <c r="H21" s="535"/>
      <c r="I21" s="535"/>
      <c r="J21" s="43"/>
      <c r="K21" s="524" t="str">
        <f ca="1">IF(CurrentPrice*0.1*2&lt;D$57,"Cash Position per Share is greater than 20% of the current price","")</f>
        <v/>
      </c>
      <c r="L21" s="525"/>
      <c r="M21" s="525"/>
      <c r="N21" s="525"/>
      <c r="O21" s="525"/>
      <c r="P21" s="244">
        <f ca="1">IF(K21="Cash Position per Share is greater than 20% of the current price",Q21,0)</f>
        <v>0</v>
      </c>
      <c r="Q21" s="244">
        <v>4</v>
      </c>
      <c r="R21" s="48">
        <f>IF(ISERROR(F22),"",IF(LTDebtThisYEar=0,1,IF(G22="Wrong direction (Increasing)",-1,IF(G22="Right direction (Decreasing)",1,0))))</f>
        <v>0</v>
      </c>
      <c r="S21" s="48">
        <f>IF(T21=99,"",IF(R21&gt;0,R21*3,0))</f>
        <v>0</v>
      </c>
      <c r="T21" s="140" t="str">
        <f t="shared" ref="T21" si="5">IF(ISERROR(R21),99,"")</f>
        <v/>
      </c>
      <c r="U21" s="35">
        <v>2</v>
      </c>
      <c r="V21" s="171" t="str">
        <f ca="1">IF(K21="Cash Position per Share is greater than 20% of the current price","Line 21","")</f>
        <v/>
      </c>
      <c r="W21" s="35"/>
      <c r="X21" s="266"/>
      <c r="Y21" s="15" t="s">
        <v>173</v>
      </c>
    </row>
    <row r="22" spans="1:25" x14ac:dyDescent="0.25">
      <c r="A22" s="173"/>
      <c r="B22" s="2"/>
      <c r="C22" s="3"/>
      <c r="D22" s="14"/>
      <c r="E22" s="2"/>
      <c r="G22" s="537" t="str">
        <f>IF(ISERROR(LTDebtThisYEar),"",IF(F21="up","",IF(LTDebtThisYEar&lt;0.001,"",IF(F24&gt;0.25,"Debt to Equity Ratio is High","Debt to Equity Ratio is OK"))))</f>
        <v>Debt to Equity Ratio is High</v>
      </c>
      <c r="H22" s="537"/>
      <c r="I22" s="537"/>
      <c r="J22" s="385" t="s">
        <v>206</v>
      </c>
      <c r="K22" s="524" t="str">
        <f>IF(ISERROR(LTDebtThisYEar),"",IF(F$24=0,"No debt can be very positive--particularly in a down economy",IF(F$24&lt;0.26,"Debt to Equity ratio is reasonable","")))</f>
        <v/>
      </c>
      <c r="L22" s="525"/>
      <c r="M22" s="525"/>
      <c r="N22" s="525"/>
      <c r="O22" s="525"/>
      <c r="P22" s="244" t="b">
        <f>IF(OR(K22)="Debt to Equity ratio is reasonable",K22="No debt can be very positive--particularly in a down economy",Q22)</f>
        <v>0</v>
      </c>
      <c r="Q22" s="244">
        <v>4</v>
      </c>
      <c r="R22" s="48">
        <f>IF(G22="Debt to Equity Ratio is High",-1,IF(G22="Debt to Equity Ratio is OK",1,1))</f>
        <v>-1</v>
      </c>
      <c r="S22" s="48">
        <f>IF(T22=99,"",IF(R22&gt;0,R22*3,0))</f>
        <v>0</v>
      </c>
      <c r="T22" s="140" t="str">
        <f t="shared" si="1"/>
        <v/>
      </c>
      <c r="U22" s="35">
        <v>3</v>
      </c>
      <c r="V22" s="171" t="str">
        <f>IF(OR(K22="No debt can be very positive--particularly in a down economy",K22="Debt to Equity ratio is reasonable"),"Line 7","")</f>
        <v/>
      </c>
      <c r="W22" s="35"/>
      <c r="X22" s="259">
        <f>Data!M39</f>
        <v>365817</v>
      </c>
      <c r="Y22" s="9" t="s">
        <v>61</v>
      </c>
    </row>
    <row r="23" spans="1:25" x14ac:dyDescent="0.25">
      <c r="A23" s="173"/>
      <c r="B23" s="2"/>
      <c r="C23" s="3"/>
      <c r="D23" s="14"/>
      <c r="E23" s="2"/>
      <c r="G23" s="518" t="str">
        <f>IF(COUNT(F21)&lt;1,"",IF(F21=0,"",IF(F21&gt;0.02,"Why are they taking on more debt?  What is the debt to equity ratio?","A small change isn't considered a serious negative.")))</f>
        <v>Why are they taking on more debt?  What is the debt to equity ratio?</v>
      </c>
      <c r="H23" s="518"/>
      <c r="I23" s="518"/>
      <c r="J23" s="518"/>
      <c r="K23" s="524" t="str">
        <f>IF(F37&gt;2,"The dividend payout ratio appears to be sustainable","")</f>
        <v>The dividend payout ratio appears to be sustainable</v>
      </c>
      <c r="L23" s="525"/>
      <c r="M23" s="525"/>
      <c r="N23" s="525"/>
      <c r="O23" s="525"/>
      <c r="P23" s="244">
        <f>IF(K23="The dividend payout ratio appears to be sustainable",Q23,0)</f>
        <v>4</v>
      </c>
      <c r="Q23" s="244">
        <v>4</v>
      </c>
      <c r="R23" s="48" t="b">
        <f>IF(ISERROR(F27),1,IF(G22="Debt to Equity Ratio is OK",1,IF(G27="Caution, company may be weak financially.",0)))</f>
        <v>0</v>
      </c>
      <c r="S23" s="48">
        <f>IF(T23=99,"",IF(R23&gt;0,R23*3,0))</f>
        <v>0</v>
      </c>
      <c r="T23" s="140" t="str">
        <f t="shared" si="1"/>
        <v/>
      </c>
      <c r="U23" s="35">
        <v>3</v>
      </c>
      <c r="V23" s="171" t="str">
        <f>IF(K23="The dividend payout ratio appears to be sustainable","Line 12","")</f>
        <v>Line 12</v>
      </c>
      <c r="W23" s="35"/>
      <c r="X23" s="260">
        <f>Data!L39</f>
        <v>274515</v>
      </c>
      <c r="Y23" s="10" t="s">
        <v>63</v>
      </c>
    </row>
    <row r="24" spans="1:25" ht="12.75" customHeight="1" x14ac:dyDescent="0.25">
      <c r="A24" s="173">
        <v>7</v>
      </c>
      <c r="B24" s="471" t="s">
        <v>72</v>
      </c>
      <c r="C24" s="472"/>
      <c r="D24" s="29"/>
      <c r="E24" s="30" t="s">
        <v>73</v>
      </c>
      <c r="F24" s="158">
        <f>IF(LTDebtThisYEar="--",0,X16/X20)</f>
        <v>2.1611371129504531</v>
      </c>
      <c r="G24" s="463" t="str">
        <f>IF(ISERROR(LTDebtThisYEar),"Company has no debt or it has not been reported",IF(COUNT(F24)&lt;1,"",IF(F24&gt;0.26,"Long-term debt may be excessive",IF(F24=0,"The company has no Long-term Debt","Long-term Debt is in normal range"))))</f>
        <v>Long-term debt may be excessive</v>
      </c>
      <c r="H24" s="464"/>
      <c r="I24" s="464"/>
      <c r="J24"/>
      <c r="K24" s="524" t="str">
        <f>IF(ISERROR(#REF!),"",IF(#REF!&gt;#REF!,"Gross Profit Margin is greater than the industry average",""))</f>
        <v/>
      </c>
      <c r="L24" s="525"/>
      <c r="M24" s="525"/>
      <c r="N24" s="525"/>
      <c r="O24" s="525"/>
      <c r="P24" s="244">
        <f>IF(K24="Gross Profit Margin is greater than the industry average",Q24,0)</f>
        <v>0</v>
      </c>
      <c r="Q24" s="244">
        <v>4</v>
      </c>
      <c r="R24" s="48">
        <f>IF(G24="Long-term Debt is in normal range",1,0)</f>
        <v>0</v>
      </c>
      <c r="S24" s="48">
        <f>IF(T24=99,"",IF(R24&gt;0,R24*3,0))</f>
        <v>0</v>
      </c>
      <c r="T24" s="140" t="str">
        <f t="shared" ref="T24" si="6">IF(ISERROR(R24),99,"")</f>
        <v/>
      </c>
      <c r="U24" s="35">
        <v>3</v>
      </c>
      <c r="V24" s="171" t="str">
        <f>IF(K24="Gross Profit Margin is greater than the industry average","Line 30","")</f>
        <v/>
      </c>
      <c r="W24" s="35"/>
      <c r="X24" s="261" t="str">
        <f>Data!G60</f>
        <v>NA</v>
      </c>
      <c r="Y24" s="28" t="s">
        <v>102</v>
      </c>
    </row>
    <row r="25" spans="1:25" ht="12.75" customHeight="1" x14ac:dyDescent="0.25">
      <c r="A25" s="173"/>
      <c r="B25" s="2"/>
      <c r="C25" s="3" t="s">
        <v>74</v>
      </c>
      <c r="D25" s="484" t="s">
        <v>273</v>
      </c>
      <c r="E25" s="484"/>
      <c r="F25" s="484"/>
      <c r="G25" s="55" t="str">
        <f>IF(COUNT(F24)&lt;1,"",IF(F24&gt;0.26,"Is the ROE greater than interest rates?  Also see Free Cash Flow Ratio",""))</f>
        <v>Is the ROE greater than interest rates?  Also see Free Cash Flow Ratio</v>
      </c>
      <c r="I25" s="55"/>
      <c r="J25" s="55"/>
      <c r="K25" s="524" t="str">
        <f>IF(F$46&gt;E$46,"The growth in Sales is greater than the growth in Assets","")</f>
        <v/>
      </c>
      <c r="L25" s="525"/>
      <c r="M25" s="525"/>
      <c r="N25" s="525"/>
      <c r="O25" s="525"/>
      <c r="P25" s="244">
        <f>IF(K25="The growth in Sales is greater than the growth in Assets",Q25,0)</f>
        <v>0</v>
      </c>
      <c r="Q25" s="244">
        <v>4</v>
      </c>
      <c r="R25" s="48"/>
      <c r="S25" s="48"/>
      <c r="T25" s="140" t="str">
        <f t="shared" si="1"/>
        <v/>
      </c>
      <c r="U25" s="35"/>
      <c r="V25" s="171" t="str">
        <f>IF(K25="The growth in Sales is greater than the growth in Assets","Line 16","")</f>
        <v/>
      </c>
      <c r="W25" s="35"/>
      <c r="X25" s="260">
        <f>Data!F60</f>
        <v>163756</v>
      </c>
      <c r="Y25" s="26" t="s">
        <v>103</v>
      </c>
    </row>
    <row r="26" spans="1:25" ht="12.75" customHeight="1" x14ac:dyDescent="0.3">
      <c r="A26" s="173"/>
      <c r="B26" s="2"/>
      <c r="C26" s="3"/>
      <c r="D26" s="83"/>
      <c r="E26" s="83"/>
      <c r="F26" s="83"/>
      <c r="G26" s="83"/>
      <c r="H26" s="55"/>
      <c r="I26" s="55"/>
      <c r="J26" s="55"/>
      <c r="K26" s="526"/>
      <c r="L26" s="527"/>
      <c r="M26" s="527"/>
      <c r="N26" s="527"/>
      <c r="O26" s="527"/>
      <c r="P26" s="244"/>
      <c r="Q26" s="244">
        <v>4</v>
      </c>
      <c r="R26" s="48"/>
      <c r="S26" s="48"/>
      <c r="T26" s="140"/>
      <c r="U26" s="35"/>
      <c r="V26" s="391"/>
      <c r="W26" s="35"/>
      <c r="X26" s="267" t="str">
        <f>Data!G48</f>
        <v>NA</v>
      </c>
      <c r="Y26" s="47" t="s">
        <v>65</v>
      </c>
    </row>
    <row r="27" spans="1:25" ht="12.75" customHeight="1" x14ac:dyDescent="0.3">
      <c r="A27" s="173">
        <v>8</v>
      </c>
      <c r="B27" s="471" t="s">
        <v>66</v>
      </c>
      <c r="C27" s="472"/>
      <c r="D27" s="481" t="s">
        <v>97</v>
      </c>
      <c r="E27" s="481"/>
      <c r="F27" s="64" t="str">
        <f>IF(OR(X29&lt;=0,COUNT(X26,X29)&lt;2),"N/A",(X26+X29)/X29)</f>
        <v>N/A</v>
      </c>
      <c r="G27" s="482" t="str">
        <f>IF(ISERROR(LTDebtThisYEar),"Company has no debt or it has not been reported",IF(F27="n/a","The data source reports no interest was paid on debt this year",IF(TotalInterestPaidonDebt=0,"With no LT debt, this item is Not Applicable",IF(F27&gt;4.99,"Large numbers aren't as useful as small.",""))))</f>
        <v>The data source reports no interest was paid on debt this year</v>
      </c>
      <c r="H27" s="483"/>
      <c r="I27" s="483"/>
      <c r="J27" s="70"/>
      <c r="K27" s="528" t="s">
        <v>663</v>
      </c>
      <c r="L27" s="529"/>
      <c r="M27" s="529"/>
      <c r="N27" s="529"/>
      <c r="O27" s="529"/>
      <c r="P27" s="392"/>
      <c r="Q27" s="392"/>
      <c r="R27" s="81"/>
      <c r="S27" s="81"/>
      <c r="T27" s="393"/>
      <c r="U27" s="393"/>
      <c r="V27" s="394">
        <f ca="1">COUNTIF(V6:V24,"*L*")</f>
        <v>6</v>
      </c>
      <c r="W27" s="35"/>
      <c r="X27" s="268" t="str">
        <f>Data!G49</f>
        <v>NA</v>
      </c>
      <c r="Y27" s="28" t="s">
        <v>110</v>
      </c>
    </row>
    <row r="28" spans="1:25" x14ac:dyDescent="0.25">
      <c r="A28" s="173"/>
      <c r="B28" s="2"/>
      <c r="C28" s="3" t="s">
        <v>67</v>
      </c>
      <c r="D28" s="2"/>
      <c r="E28" s="2"/>
      <c r="F28" s="485" t="str">
        <f>IF(COUNT(F27)&lt;1,"",IF(F27&gt;4.99,"This company appears to be in good shape financially.",IF(F27&gt;2.9999,"Caution, Interest Coverage is worrysome","CAUTION, Interest Coverage is VERY worrysome")))</f>
        <v/>
      </c>
      <c r="G28" s="485"/>
      <c r="H28" s="485"/>
      <c r="I28" s="485"/>
      <c r="K28" s="532"/>
      <c r="L28" s="532"/>
      <c r="M28" s="191"/>
      <c r="N28" s="191"/>
      <c r="O28" s="191"/>
      <c r="P28" s="140">
        <f ca="1">COUNT(P6:P27)</f>
        <v>18</v>
      </c>
      <c r="Q28" s="140">
        <f>SUM(Q6:Q27)</f>
        <v>84</v>
      </c>
      <c r="R28" s="48"/>
      <c r="S28" s="48"/>
      <c r="T28" s="140" t="str">
        <f t="shared" si="1"/>
        <v/>
      </c>
      <c r="U28" s="35"/>
      <c r="V28" s="390"/>
      <c r="W28" s="35"/>
      <c r="X28" s="268">
        <f>Data!F49</f>
        <v>59531</v>
      </c>
      <c r="Y28" s="26" t="s">
        <v>111</v>
      </c>
    </row>
    <row r="29" spans="1:25" ht="17.399999999999999" x14ac:dyDescent="0.3">
      <c r="A29" s="173"/>
      <c r="B29" s="2"/>
      <c r="D29" s="2"/>
      <c r="E29" s="2"/>
      <c r="G29" s="480" t="s">
        <v>117</v>
      </c>
      <c r="H29" s="480"/>
      <c r="I29" s="480"/>
      <c r="J29" s="70"/>
      <c r="K29" s="583" t="s">
        <v>23</v>
      </c>
      <c r="L29" s="584"/>
      <c r="M29" s="584"/>
      <c r="N29" s="584"/>
      <c r="O29" s="585"/>
      <c r="P29" s="241"/>
      <c r="Q29" s="241"/>
      <c r="R29" s="48">
        <f>IF(H30="Caution the Gross Margin is decreasing",0,IF(H30="Good, Gross Profit is increasing",1,0))</f>
        <v>1</v>
      </c>
      <c r="S29" s="48">
        <f>IF(T29=99,"",IF(R29&gt;0,R29*2,0))</f>
        <v>2</v>
      </c>
      <c r="T29" s="140" t="str">
        <f t="shared" si="1"/>
        <v/>
      </c>
      <c r="U29" s="35">
        <v>2</v>
      </c>
      <c r="V29" s="183" t="s">
        <v>31</v>
      </c>
      <c r="W29" s="35"/>
      <c r="X29" s="269">
        <f>IF(ISERROR(Data!G56),0,Data!G56)</f>
        <v>6611</v>
      </c>
      <c r="Y29" s="26" t="s">
        <v>132</v>
      </c>
    </row>
    <row r="30" spans="1:25" ht="13.8" x14ac:dyDescent="0.3">
      <c r="A30" s="173">
        <v>9</v>
      </c>
      <c r="B30" s="496" t="s">
        <v>125</v>
      </c>
      <c r="C30" s="497"/>
      <c r="D30" s="18" t="s">
        <v>126</v>
      </c>
      <c r="E30" s="143">
        <f>ROUND((RevenuesThisYear-CostsThisYear)/RevenuesThisYear,3)</f>
        <v>1</v>
      </c>
      <c r="F30" s="85" t="s">
        <v>127</v>
      </c>
      <c r="G30" s="144">
        <f>ROUND((RevenuesLastYear-CostsLastYear)/RevenuesLastYear,3)</f>
        <v>0.40300000000000002</v>
      </c>
      <c r="H30" s="504" t="str">
        <f>IF(G30&gt;E30,"Caution the Gross Margin is decreasing",IF(G30&lt;E30,"Good, Gross Profit is increasing",""))</f>
        <v>Good, Gross Profit is increasing</v>
      </c>
      <c r="I30" s="519"/>
      <c r="J30" s="386">
        <v>4</v>
      </c>
      <c r="K30" s="530" t="str">
        <f>IF(F$5&gt;0,"Accounts Receivable is increasing","")</f>
        <v>Accounts Receivable is increasing</v>
      </c>
      <c r="L30" s="531"/>
      <c r="M30" s="531"/>
      <c r="N30" s="531"/>
      <c r="O30" s="531"/>
      <c r="P30" s="244">
        <f>IF(K30="Accounts Receivable is increasing",Q30,0)</f>
        <v>-4</v>
      </c>
      <c r="Q30" s="244">
        <v>-4</v>
      </c>
      <c r="R30" s="48"/>
      <c r="S30" s="48"/>
      <c r="T30" s="140" t="str">
        <f t="shared" si="1"/>
        <v/>
      </c>
      <c r="U30" s="35"/>
      <c r="V30" s="171" t="str">
        <f>IF(K30="Accounts Receivable is increasing","Line 1","")</f>
        <v>Line 1</v>
      </c>
      <c r="W30" s="35"/>
      <c r="X30" s="270"/>
      <c r="Y30" s="42" t="s">
        <v>135</v>
      </c>
    </row>
    <row r="31" spans="1:25" x14ac:dyDescent="0.25">
      <c r="A31" s="173"/>
      <c r="B31" s="2"/>
      <c r="C31" s="46" t="s">
        <v>211</v>
      </c>
      <c r="D31" s="490"/>
      <c r="E31" s="490"/>
      <c r="G31" s="480"/>
      <c r="H31" s="480"/>
      <c r="I31" s="480"/>
      <c r="J31" s="70"/>
      <c r="K31" s="530" t="str">
        <f>IF(ISERROR(F9),"",IF(F$9&gt;0,"Inventories are increasing",""))</f>
        <v/>
      </c>
      <c r="L31" s="531"/>
      <c r="M31" s="531"/>
      <c r="N31" s="531"/>
      <c r="O31" s="531"/>
      <c r="P31" s="244">
        <f>IF(K31="Inventories are increasing",Q31,0)</f>
        <v>0</v>
      </c>
      <c r="Q31" s="244">
        <v>-4</v>
      </c>
      <c r="R31" s="48">
        <f>IF(G32="Wrong direction (Increasing)--Dilution is occuring",-1,IF(G32="Right Direction (Decreasing)",1,0))</f>
        <v>-1</v>
      </c>
      <c r="S31" s="48">
        <f>IF(T31=99,"",IF(R31&gt;0,R31*3,0))</f>
        <v>0</v>
      </c>
      <c r="T31" s="140" t="str">
        <f t="shared" si="1"/>
        <v/>
      </c>
      <c r="U31" s="35">
        <v>3</v>
      </c>
      <c r="V31" s="171" t="str">
        <f>IF(K31="Inventories are increasing","Line 2","")</f>
        <v/>
      </c>
      <c r="W31" s="35"/>
      <c r="X31" s="271">
        <f>Data!M64</f>
        <v>104038</v>
      </c>
      <c r="Y31" s="59" t="s">
        <v>104</v>
      </c>
    </row>
    <row r="32" spans="1:25" x14ac:dyDescent="0.25">
      <c r="A32" s="173">
        <v>10</v>
      </c>
      <c r="B32" s="496" t="s">
        <v>69</v>
      </c>
      <c r="C32" s="497"/>
      <c r="D32" s="16"/>
      <c r="E32" s="45" t="str">
        <f>IF(F32&lt;1.02,"Down",IF(F32&gt;1.02,"Up","Even"))</f>
        <v>Down</v>
      </c>
      <c r="F32" s="109">
        <f>IF(OR(X19&lt;=0,COUNT(X18,X19)&lt;2),"UP",(X18/X19)-1)</f>
        <v>6.8002025544364963E-2</v>
      </c>
      <c r="G32" s="463" t="str">
        <f>IF(F32="UP","Company has not reported common shares last year",IF(F32&gt;0.02,"Wrong direction (Increasing)--Dilution is occuring",IF(F32=0,"No significant change",IF(F32&lt;0,"Right Direction (Decreasing)",IF(F32&lt;=0.02,"A small change is not important")))))</f>
        <v>Wrong direction (Increasing)--Dilution is occuring</v>
      </c>
      <c r="H32" s="464"/>
      <c r="I32" s="464"/>
      <c r="J32" s="70"/>
      <c r="K32" s="530" t="str">
        <f>IF(F$12&lt;0,"Sales are decreasing","")</f>
        <v/>
      </c>
      <c r="L32" s="531"/>
      <c r="M32" s="531"/>
      <c r="N32" s="531"/>
      <c r="O32" s="531"/>
      <c r="P32" s="244">
        <f>IF(K32="Sales are decreasing",Q32,0)</f>
        <v>0</v>
      </c>
      <c r="Q32" s="244">
        <v>-4</v>
      </c>
      <c r="R32" s="48"/>
      <c r="S32" s="48"/>
      <c r="T32" s="140" t="str">
        <f t="shared" si="1"/>
        <v/>
      </c>
      <c r="U32" s="35"/>
      <c r="V32" s="171" t="str">
        <f>IF(K32="Sales are decreasing","Line 3","")</f>
        <v/>
      </c>
      <c r="W32" s="35"/>
      <c r="X32" s="272">
        <f>Data!L64</f>
        <v>80674</v>
      </c>
      <c r="Y32" s="60" t="s">
        <v>105</v>
      </c>
    </row>
    <row r="33" spans="1:25" x14ac:dyDescent="0.25">
      <c r="A33" s="173"/>
      <c r="B33" s="2"/>
      <c r="C33" s="32" t="s">
        <v>107</v>
      </c>
      <c r="D33" s="7"/>
      <c r="E33" s="2"/>
      <c r="F33" s="486" t="str">
        <f>IF(COUNT(F32)&lt;1,"",IF(F32&lt;0.02,"A small change of up to about 2% isn't considered too consequencial",""))</f>
        <v/>
      </c>
      <c r="G33" s="486"/>
      <c r="H33" s="486"/>
      <c r="I33" s="486"/>
      <c r="J33" s="70"/>
      <c r="K33" s="530" t="str">
        <f>IF(F9&gt;F12,"Inventories are growing faster than sales","")</f>
        <v/>
      </c>
      <c r="L33" s="531"/>
      <c r="M33" s="531"/>
      <c r="N33" s="531"/>
      <c r="O33" s="531"/>
      <c r="P33" s="244">
        <f>IF(K33="Inventories are growing faster than sales",Q33,0)</f>
        <v>0</v>
      </c>
      <c r="Q33" s="244">
        <v>-4</v>
      </c>
      <c r="R33" s="48"/>
      <c r="S33" s="48"/>
      <c r="T33" s="140" t="str">
        <f t="shared" si="1"/>
        <v/>
      </c>
      <c r="U33" s="35"/>
      <c r="V33" s="171" t="str">
        <f>IF(K33="Inventories are growing faster than sales","Line 3","")</f>
        <v/>
      </c>
      <c r="W33" s="35"/>
      <c r="X33" s="273">
        <f>Data!M54</f>
        <v>14468</v>
      </c>
      <c r="Y33" s="27" t="s">
        <v>307</v>
      </c>
    </row>
    <row r="34" spans="1:25" x14ac:dyDescent="0.25">
      <c r="A34" s="173">
        <v>11</v>
      </c>
      <c r="B34" s="471" t="s">
        <v>220</v>
      </c>
      <c r="C34" s="497"/>
      <c r="D34" s="16"/>
      <c r="E34" s="16"/>
      <c r="F34" s="153" t="e">
        <f>Data!M52</f>
        <v>#VALUE!</v>
      </c>
      <c r="G34" s="504" t="s">
        <v>140</v>
      </c>
      <c r="H34" s="505"/>
      <c r="I34" s="505"/>
      <c r="K34" s="530" t="str">
        <f>IF(ISERROR(E15),"",IF(F$12&lt;E$15,"Cost of Sales is growing faster than Sales",""))</f>
        <v/>
      </c>
      <c r="L34" s="531"/>
      <c r="M34" s="531"/>
      <c r="N34" s="531"/>
      <c r="O34" s="531"/>
      <c r="P34" s="244">
        <f>IF(K34="Cost of Sales is growing faster than Sales",Q34,0)</f>
        <v>0</v>
      </c>
      <c r="Q34" s="244">
        <v>-4</v>
      </c>
      <c r="R34" s="48" t="e">
        <f>IF(F35="Caution - Cashflow is not increasing at or better than the Sales rate",0,IF(G35="Cashflow is growing faster than Sales",1,0))</f>
        <v>#VALUE!</v>
      </c>
      <c r="S34" s="48" t="str">
        <f>IF(T34=99,"",IF(R34&gt;0,R34*3,0))</f>
        <v/>
      </c>
      <c r="T34" s="140">
        <f t="shared" si="1"/>
        <v>99</v>
      </c>
      <c r="U34" s="35">
        <v>3</v>
      </c>
      <c r="V34" s="171" t="str">
        <f>IF(K34="Cost of Sales is growing faster than Sales","Line 4","")</f>
        <v/>
      </c>
      <c r="W34" s="35"/>
      <c r="X34" s="427">
        <f ca="1">Data!D78</f>
        <v>152.55000000000001</v>
      </c>
      <c r="Y34" s="397" t="s">
        <v>326</v>
      </c>
    </row>
    <row r="35" spans="1:25" x14ac:dyDescent="0.25">
      <c r="A35" s="173"/>
      <c r="B35" s="507" t="s">
        <v>213</v>
      </c>
      <c r="C35" s="507"/>
      <c r="D35" s="507"/>
      <c r="E35" s="507"/>
      <c r="F35" s="506" t="e">
        <f>IF(COUNT(NetCashOperationsThisYear,NetCashOperationsLastYear,RevenuesThisYear,RevenuesLastYear)&lt;4,"",IF(F34&gt;F12,"Cashflow is growing faster than Sales",IF(F34="NMF","This ratio is not meaningful -- Caution is advised","Caution - Cashflow is not increasing at or better than the Sales rate")))</f>
        <v>#VALUE!</v>
      </c>
      <c r="G35" s="506"/>
      <c r="H35" s="506"/>
      <c r="I35" s="506"/>
      <c r="J35" s="365"/>
      <c r="K35" s="531" t="str">
        <f>IF(ISERROR(F$21),"",IF(F$21&gt;0.25,"Long Term Debt is increasing",""))</f>
        <v/>
      </c>
      <c r="L35" s="531"/>
      <c r="M35" s="531"/>
      <c r="N35" s="531"/>
      <c r="O35" s="531"/>
      <c r="P35" s="244">
        <f>IF(K35="Long Term Debt is increasing",Q35,0)</f>
        <v>0</v>
      </c>
      <c r="Q35" s="244">
        <v>-4</v>
      </c>
      <c r="R35" s="48"/>
      <c r="S35" s="48"/>
      <c r="T35" s="140" t="str">
        <f t="shared" si="1"/>
        <v/>
      </c>
      <c r="U35" s="35"/>
      <c r="V35" s="171" t="str">
        <f>IF(K35="Long Term Debt is increasing","Line 6","")</f>
        <v/>
      </c>
      <c r="W35" s="35"/>
      <c r="X35" s="274">
        <f>Data!C123/100</f>
        <v>3.9199999999999999E-2</v>
      </c>
      <c r="Y35" s="27" t="s">
        <v>197</v>
      </c>
    </row>
    <row r="36" spans="1:25" x14ac:dyDescent="0.25">
      <c r="A36" s="173"/>
      <c r="B36" s="2"/>
      <c r="G36" s="115"/>
      <c r="H36" s="115"/>
      <c r="I36" s="115"/>
      <c r="J36" s="118"/>
      <c r="K36" s="530" t="str">
        <f>IF(ISERROR(F$27),"",IF(F$27&lt;5,"Caution--Interest Coverage is low or data are missing",""))</f>
        <v>Caution--Interest Coverage is low or data are missing</v>
      </c>
      <c r="L36" s="531"/>
      <c r="M36" s="531"/>
      <c r="N36" s="531"/>
      <c r="O36" s="531"/>
      <c r="P36" s="244">
        <f>IF(K36="Caution--Interest Coverage is low or data are missing",Q36,0)</f>
        <v>-4</v>
      </c>
      <c r="Q36" s="244">
        <v>-4</v>
      </c>
      <c r="R36" s="48" t="e">
        <f>IF(G37="",0,IF(G37="ratio is probably sufficient--the dividend is not likely to be cut",1,0))</f>
        <v>#VALUE!</v>
      </c>
      <c r="S36" s="48" t="str">
        <f>IF(T36=99,"",IF(R36&gt;0,R36*3,0))</f>
        <v/>
      </c>
      <c r="T36" s="140">
        <f t="shared" si="1"/>
        <v>99</v>
      </c>
      <c r="U36" s="35">
        <v>3</v>
      </c>
      <c r="V36" s="171" t="str">
        <f>IF(K36="Caution--Interest Coverage is low or data are missing","Line 8","")</f>
        <v>Line 8</v>
      </c>
      <c r="W36" s="35"/>
      <c r="X36" s="396" t="str">
        <f ca="1">IF(ISERROR(CurrentPrice),"PRICE IS MISSING.CLICK LINK BELOW TO GET PRICE ","")</f>
        <v/>
      </c>
    </row>
    <row r="37" spans="1:25" x14ac:dyDescent="0.25">
      <c r="A37" s="173">
        <v>12</v>
      </c>
      <c r="B37" s="491" t="s">
        <v>245</v>
      </c>
      <c r="C37" s="492"/>
      <c r="D37" s="492"/>
      <c r="E37" s="492"/>
      <c r="F37" s="154">
        <f>Data!N57</f>
        <v>7.190904064141554</v>
      </c>
      <c r="G37" s="493" t="e">
        <f>IF(AND(Data!M54=0,SUM(Data!I54:M54)&gt;0),"Company paid a dividend in the past but data for most recent quarter is missing--why?",IF(Data!M54=0,"The company pays no dividend",IF(F37&gt;=2,"Ratio is probably sufficient--the dividend is not likely to be cut",IF(AND(F37&gt;=1,F37&lt;2),"The ratio is low--can the current dividend be continued?",IF(F37&lt;1,"The dividend is in danger of being cut or eliminated","")))))</f>
        <v>#VALUE!</v>
      </c>
      <c r="H37" s="494"/>
      <c r="I37" s="494"/>
      <c r="J37"/>
      <c r="K37" s="530" t="str">
        <f>IF(ISERROR(E30),"",IF(E$30&lt;G$30,"Gross Profit Margin is not growing",""))</f>
        <v/>
      </c>
      <c r="L37" s="531"/>
      <c r="M37" s="531"/>
      <c r="N37" s="531"/>
      <c r="O37" s="531"/>
      <c r="P37" s="244">
        <f>IF(K37="Gross Profit Margin is not growing",Q37,0)</f>
        <v>0</v>
      </c>
      <c r="Q37" s="244">
        <v>-4</v>
      </c>
      <c r="R37" s="48"/>
      <c r="S37" s="48"/>
      <c r="T37" s="140" t="str">
        <f t="shared" si="1"/>
        <v/>
      </c>
      <c r="U37" s="35"/>
      <c r="V37" s="171" t="str">
        <f>IF(K37="Gross Profit Margin is not growing","Line 9","")</f>
        <v/>
      </c>
      <c r="W37" s="35"/>
      <c r="X37" s="520" t="str">
        <f ca="1">IF(ISERROR(CurrentPrice),"TYPE PRICE INTO 'THE Price' CELL ABOVE","")</f>
        <v/>
      </c>
      <c r="Y37" s="520"/>
    </row>
    <row r="38" spans="1:25" x14ac:dyDescent="0.25">
      <c r="A38" s="173"/>
      <c r="B38" s="119"/>
      <c r="C38" s="120" t="s">
        <v>12</v>
      </c>
      <c r="D38" s="120"/>
      <c r="E38" s="120"/>
      <c r="F38" s="121"/>
      <c r="G38" s="495"/>
      <c r="H38" s="495"/>
      <c r="I38" s="495"/>
      <c r="K38" s="530" t="str">
        <f>IF(F39&lt;0.1,"Free cash flow margin should be higher","")</f>
        <v/>
      </c>
      <c r="L38" s="531"/>
      <c r="M38" s="531"/>
      <c r="N38" s="531"/>
      <c r="O38" s="531"/>
      <c r="P38" s="244">
        <f>IF(K38="Free cash flow margin should be higher",Q38,0)</f>
        <v>0</v>
      </c>
      <c r="Q38" s="244">
        <v>-4</v>
      </c>
      <c r="R38" s="48">
        <f>IF(G39="OOPS, anything less than 10 is bad news",0,IF(G39="Anything over 10 is Great - Substantially over 10 is EXCELLENT",1,0))</f>
        <v>1</v>
      </c>
      <c r="S38" s="48">
        <f>IF(T38=99,"",IF(R38&gt;0,R38*3,0))</f>
        <v>3</v>
      </c>
      <c r="T38" s="140" t="str">
        <f t="shared" si="1"/>
        <v/>
      </c>
      <c r="U38" s="35">
        <v>3</v>
      </c>
      <c r="V38" s="171" t="str">
        <f>IF(K38="Free cash flow margin should be higher","Line 13","")</f>
        <v/>
      </c>
      <c r="W38" s="35"/>
      <c r="X38"/>
    </row>
    <row r="39" spans="1:25" x14ac:dyDescent="0.25">
      <c r="A39" s="173">
        <v>13</v>
      </c>
      <c r="B39" s="496" t="s">
        <v>87</v>
      </c>
      <c r="C39" s="497"/>
      <c r="D39" s="16"/>
      <c r="E39" s="29"/>
      <c r="F39" s="285">
        <f>Data!N60</f>
        <v>0.28439903011615097</v>
      </c>
      <c r="G39" s="504" t="str">
        <f>IF(COUNT(F39)&lt;1,"",IF(F39&lt;0.098,"OOPS, anything less than 10 is bad news","Anything over 10 is Great - Substantially over 10 is EXCELLENT"))</f>
        <v>Anything over 10 is Great - Substantially over 10 is EXCELLENT</v>
      </c>
      <c r="H39" s="505"/>
      <c r="I39" s="505"/>
      <c r="J39" s="43"/>
      <c r="K39" s="530" t="str">
        <f>IF(F32&gt;=0.02,"Shares outstanding are increasing","")</f>
        <v>Shares outstanding are increasing</v>
      </c>
      <c r="L39" s="531"/>
      <c r="M39" s="531"/>
      <c r="N39" s="531"/>
      <c r="O39" s="531"/>
      <c r="P39" s="244">
        <f>IF(K39="Shares outstanding are increasing",Q39,0)</f>
        <v>-4</v>
      </c>
      <c r="Q39" s="244">
        <v>-4</v>
      </c>
      <c r="R39" s="48"/>
      <c r="S39" s="48"/>
      <c r="T39" s="140" t="str">
        <f t="shared" si="1"/>
        <v/>
      </c>
      <c r="U39" s="35"/>
      <c r="V39" s="171" t="str">
        <f>IF(K39="Shares outstanding are increasing","Line 10","")</f>
        <v>Line 10</v>
      </c>
      <c r="W39" s="35"/>
      <c r="X39" s="396"/>
    </row>
    <row r="40" spans="1:25" x14ac:dyDescent="0.25">
      <c r="A40" s="173"/>
      <c r="B40" s="2"/>
      <c r="C40" s="116" t="s">
        <v>112</v>
      </c>
      <c r="D40" s="523"/>
      <c r="E40" s="523"/>
      <c r="F40" s="117"/>
      <c r="G40" s="572"/>
      <c r="H40" s="572"/>
      <c r="I40" s="572"/>
      <c r="J40" s="51"/>
      <c r="K40" s="592" t="e">
        <f>IF(F$34&lt;F$12,"Sales is growing slower than Cash flow","")</f>
        <v>#VALUE!</v>
      </c>
      <c r="L40" s="593"/>
      <c r="M40" s="593"/>
      <c r="N40" s="593"/>
      <c r="O40" s="593"/>
      <c r="P40" s="244" t="e">
        <f>IF(K40="Sales is growing slower than Cash flow",Q40,0)</f>
        <v>#VALUE!</v>
      </c>
      <c r="Q40" s="244">
        <v>-4</v>
      </c>
      <c r="R40" s="48"/>
      <c r="S40" s="48"/>
      <c r="T40" s="140" t="str">
        <f>IF(ISERROR(R40),99,"")</f>
        <v/>
      </c>
      <c r="U40" s="35"/>
      <c r="V40" s="171" t="e">
        <f>IF(K40="Sales is growing slower than Cash flow","Line 11","")</f>
        <v>#VALUE!</v>
      </c>
      <c r="W40" s="35"/>
      <c r="Y40" s="48"/>
    </row>
    <row r="41" spans="1:25" x14ac:dyDescent="0.25">
      <c r="A41" s="173">
        <v>14</v>
      </c>
      <c r="B41" s="488" t="s">
        <v>210</v>
      </c>
      <c r="C41" s="489"/>
      <c r="D41" s="489"/>
      <c r="E41" s="573"/>
      <c r="F41" s="342">
        <f ca="1">IF(Dividends=0,"Caution",(NetCashOperationsThisYear-PPEThisYear-Dividends)/CommonSharesThisYear)/CurrentPrice</f>
        <v>1.6668490786509504E-2</v>
      </c>
      <c r="G41" s="571" t="str">
        <f ca="1">IF(F41&lt;X35/100,"The return is less than the 10 year note.  Is company spending cash wisely?",IF(F41&gt;X35/100,"Good - Free Cashflow return is greater than the 10 year note rate",""))</f>
        <v>Good - Free Cashflow return is greater than the 10 year note rate</v>
      </c>
      <c r="H41" s="514"/>
      <c r="I41" s="514"/>
      <c r="J41" s="5"/>
      <c r="K41" s="530" t="str">
        <f>IF(ISERROR(LTDebtThisYEar),"",IF(F$24=0,"",IF(F$24&gt;0.26,"Debt to Equity is high","")))</f>
        <v>Debt to Equity is high</v>
      </c>
      <c r="L41" s="531"/>
      <c r="M41" s="531"/>
      <c r="N41" s="531"/>
      <c r="O41" s="531"/>
      <c r="P41" s="244">
        <f>IF(K41="Debt to Equity is high",Q41,0)</f>
        <v>-4</v>
      </c>
      <c r="Q41" s="244">
        <v>-4</v>
      </c>
      <c r="R41" s="48"/>
      <c r="S41" s="48"/>
      <c r="T41" s="140" t="str">
        <f>IF(ISERROR(R41),99,"")</f>
        <v/>
      </c>
      <c r="U41" s="35"/>
      <c r="V41" s="171" t="str">
        <f>IF(K41="Debt to Equity is high","Line 7","")</f>
        <v>Line 7</v>
      </c>
      <c r="W41" s="35"/>
      <c r="X41" s="521" t="s">
        <v>33</v>
      </c>
      <c r="Y41" s="522"/>
    </row>
    <row r="42" spans="1:25" x14ac:dyDescent="0.25">
      <c r="A42" s="173"/>
      <c r="B42" s="146"/>
      <c r="C42" s="146"/>
      <c r="D42" s="146"/>
      <c r="E42" s="147"/>
      <c r="F42" s="148"/>
      <c r="G42" s="113"/>
      <c r="H42" s="113"/>
      <c r="I42" s="113"/>
      <c r="J42" s="5"/>
      <c r="K42" s="530" t="str">
        <f>IF(F$46&lt;E$46,"The growth in Sales is less than the growth in Assets","")</f>
        <v/>
      </c>
      <c r="L42" s="531"/>
      <c r="M42" s="531"/>
      <c r="N42" s="531"/>
      <c r="O42" s="531"/>
      <c r="P42" s="244">
        <f>IF(K42="The growth in Sales is less than the growth in Assets",Q42,0)</f>
        <v>0</v>
      </c>
      <c r="Q42" s="244">
        <v>-4</v>
      </c>
      <c r="R42" s="48"/>
      <c r="S42" s="48"/>
      <c r="T42" s="140"/>
      <c r="U42" s="35"/>
      <c r="V42" s="171" t="str">
        <f>IF(K42="The growth in Sales is less than the growth in Assets","Line 16","")</f>
        <v/>
      </c>
      <c r="W42" s="164"/>
      <c r="X42" s="1" t="str">
        <f>IF(COUNT(rngBalanceSheet)=14,"...",333)</f>
        <v>...</v>
      </c>
    </row>
    <row r="43" spans="1:25" x14ac:dyDescent="0.25">
      <c r="A43" s="173">
        <v>15</v>
      </c>
      <c r="B43" s="471" t="s">
        <v>209</v>
      </c>
      <c r="C43" s="574"/>
      <c r="D43" s="574"/>
      <c r="E43" s="574"/>
      <c r="F43" s="295" t="e">
        <f ca="1">CurrentPrice/Data!G58/100</f>
        <v>#DIV/0!</v>
      </c>
      <c r="G43" s="296" t="e">
        <f ca="1">IF(F43-0.02&gt;X35,"Earnings Yield is significantly greater than the 10 year note rate","Earnings Yield is not significantly higher than the 10 year note rate.")</f>
        <v>#DIV/0!</v>
      </c>
      <c r="H43" s="297"/>
      <c r="I43" s="297"/>
      <c r="J43" s="5"/>
      <c r="K43" s="530" t="str">
        <f ca="1">IF(F$41*100&lt;X$35,"Return on Free Cash flow is less than the 10 year bond rate","")</f>
        <v/>
      </c>
      <c r="L43" s="531"/>
      <c r="M43" s="531"/>
      <c r="N43" s="531"/>
      <c r="O43" s="531"/>
      <c r="P43" s="244">
        <f ca="1">IF(K43="Return on Free Cash flow is less than the 10 year bond rate",Q43,0)</f>
        <v>0</v>
      </c>
      <c r="Q43" s="244">
        <v>-4</v>
      </c>
      <c r="R43" s="48" t="e">
        <f ca="1">IF(F43-(F44+2)&lt;1,1)</f>
        <v>#DIV/0!</v>
      </c>
      <c r="S43" s="48" t="e">
        <f ca="1">IF(T43=99,"",IF(R43&gt;0,R43*1,0))</f>
        <v>#DIV/0!</v>
      </c>
      <c r="T43" s="140"/>
      <c r="U43" s="35">
        <v>1</v>
      </c>
      <c r="V43" s="171" t="str">
        <f ca="1">IF(K43="Return on Free Cash flow is less than the 10 year bond rate","Line 14","")</f>
        <v/>
      </c>
    </row>
    <row r="44" spans="1:25" x14ac:dyDescent="0.25">
      <c r="A44" s="173"/>
      <c r="B44" s="122"/>
      <c r="C44" s="149" t="s">
        <v>327</v>
      </c>
      <c r="D44" s="122"/>
      <c r="E44" s="162" t="s">
        <v>227</v>
      </c>
      <c r="F44" s="161">
        <f>X35</f>
        <v>3.9199999999999999E-2</v>
      </c>
      <c r="G44" s="253" t="s">
        <v>228</v>
      </c>
      <c r="H44" s="151"/>
      <c r="I44" s="151"/>
      <c r="J44" s="5"/>
      <c r="K44" s="586" t="str">
        <f>IF(F$48&lt;0.1,"Return on Assets should be higher","")</f>
        <v>Return on Assets should be higher</v>
      </c>
      <c r="L44" s="587"/>
      <c r="M44" s="587"/>
      <c r="N44" s="587"/>
      <c r="O44" s="587"/>
      <c r="P44" s="244">
        <f>IF(K44="Return on Assets should be higher",Q44,0)</f>
        <v>-4</v>
      </c>
      <c r="Q44" s="244">
        <v>-4</v>
      </c>
      <c r="R44" s="48"/>
      <c r="S44" s="48"/>
      <c r="T44" s="140" t="str">
        <f t="shared" si="1"/>
        <v/>
      </c>
      <c r="U44" s="35"/>
      <c r="V44" s="171" t="str">
        <f>IF(K44="Return on Assets should be higher","Line 17","")</f>
        <v>Line 17</v>
      </c>
      <c r="W44" s="35"/>
    </row>
    <row r="45" spans="1:25" ht="15" x14ac:dyDescent="0.25">
      <c r="A45" s="173"/>
      <c r="B45" s="86"/>
      <c r="C45" s="86"/>
      <c r="D45" s="132"/>
      <c r="E45" s="134" t="s">
        <v>13</v>
      </c>
      <c r="F45" s="135" t="s">
        <v>10</v>
      </c>
      <c r="I45" s="150"/>
      <c r="J45" s="133"/>
      <c r="K45" s="586" t="str">
        <f>IF(F$50&lt;0.15,"Return on Equity is inadequate","")</f>
        <v>Return on Equity is inadequate</v>
      </c>
      <c r="L45" s="587"/>
      <c r="M45" s="587"/>
      <c r="N45" s="587"/>
      <c r="O45" s="587"/>
      <c r="P45" s="244">
        <f>IF(K45="Return on Equity is inadequate",Q45,0)</f>
        <v>-4</v>
      </c>
      <c r="Q45" s="244">
        <v>-4</v>
      </c>
      <c r="R45" s="48"/>
      <c r="S45" s="48"/>
      <c r="T45" s="140" t="str">
        <f t="shared" si="1"/>
        <v/>
      </c>
      <c r="U45" s="35"/>
      <c r="V45" s="171" t="str">
        <f>IF(K45="Return on Equity is inadequate","Line 18","")</f>
        <v>Line 18</v>
      </c>
      <c r="W45" s="35"/>
      <c r="X45" s="179"/>
      <c r="Y45" s="181"/>
    </row>
    <row r="46" spans="1:25" ht="15" x14ac:dyDescent="0.25">
      <c r="A46" s="173">
        <v>16</v>
      </c>
      <c r="B46" s="24" t="s">
        <v>11</v>
      </c>
      <c r="C46" s="128"/>
      <c r="D46" s="128"/>
      <c r="E46" s="129">
        <f>ROUND(Data!M41,3)</f>
        <v>0.33300000000000002</v>
      </c>
      <c r="F46" s="136">
        <f>ROUND(F12,3)</f>
        <v>0.33300000000000002</v>
      </c>
      <c r="G46" s="538" t="str">
        <f>IF(E46&gt;F46,"Good, Sales is growing faster than Assets",IF(F46&gt;E46,"Caution-Assets are growing faster than Sales",""))</f>
        <v/>
      </c>
      <c r="H46" s="539"/>
      <c r="I46" s="539"/>
      <c r="J46" s="387" t="s">
        <v>192</v>
      </c>
      <c r="K46" s="530" t="e">
        <f>IF(E$55&gt;F$55,"Net Cash is not growing as fast or faster than Net Income","")</f>
        <v>#DIV/0!</v>
      </c>
      <c r="L46" s="531"/>
      <c r="M46" s="531"/>
      <c r="N46" s="531"/>
      <c r="O46" s="531"/>
      <c r="P46" s="244" t="e">
        <f>IF(K46="Net Cash is not growing as fast or faster than Net Income",Q46,0)</f>
        <v>#DIV/0!</v>
      </c>
      <c r="Q46" s="244">
        <v>-4</v>
      </c>
      <c r="R46" s="48">
        <f>IF(F46&gt;E46,1,0)</f>
        <v>0</v>
      </c>
      <c r="S46" s="48">
        <f>IF(T46=99,"",IF(R46&gt;0,R46*3,0))</f>
        <v>0</v>
      </c>
      <c r="T46" s="140" t="str">
        <f t="shared" si="1"/>
        <v/>
      </c>
      <c r="U46" s="35">
        <v>1</v>
      </c>
      <c r="V46" s="171" t="e">
        <f>IF(K46="Net Cash is not growing as fast or faster than Net Income","Line 20","")</f>
        <v>#DIV/0!</v>
      </c>
      <c r="W46" s="35"/>
      <c r="X46" s="180"/>
      <c r="Y46" s="182"/>
    </row>
    <row r="47" spans="1:25" ht="15" x14ac:dyDescent="0.25">
      <c r="A47" s="173"/>
      <c r="B47" s="2"/>
      <c r="C47" s="546" t="s">
        <v>15</v>
      </c>
      <c r="D47" s="546"/>
      <c r="E47" s="546"/>
      <c r="F47" s="546"/>
      <c r="G47" s="546"/>
      <c r="H47" s="113"/>
      <c r="I47" s="113"/>
      <c r="J47" s="5"/>
      <c r="K47" s="530" t="str">
        <f ca="1">IF(CurrentPrice*0.1*2&gt;D$57,"Cash Position per Share is less than 20% of the current price","")</f>
        <v>Cash Position per Share is less than 20% of the current price</v>
      </c>
      <c r="L47" s="531"/>
      <c r="M47" s="531"/>
      <c r="N47" s="531"/>
      <c r="O47" s="531"/>
      <c r="P47" s="244">
        <f ca="1">IF(K47="Cash Position per Share is less than 20% of the current price",Q47,0)</f>
        <v>-4</v>
      </c>
      <c r="Q47" s="244">
        <v>-4</v>
      </c>
      <c r="R47" s="48" t="e">
        <f ca="1">IF(F43&gt;0.05,1,0)</f>
        <v>#DIV/0!</v>
      </c>
      <c r="S47" s="48" t="str">
        <f ca="1">IF(T47=99,"",IF(R47&gt;0,R47*3,0))</f>
        <v/>
      </c>
      <c r="T47" s="140">
        <f t="shared" ca="1" si="1"/>
        <v>99</v>
      </c>
      <c r="U47" s="35">
        <v>3</v>
      </c>
      <c r="V47" s="171" t="str">
        <f ca="1">IF(K47="Cash Position per Share is less than 20% of the current price","Line 21","")</f>
        <v>Line 21</v>
      </c>
      <c r="W47" s="35"/>
      <c r="X47" s="177"/>
    </row>
    <row r="48" spans="1:25" ht="12.75" customHeight="1" x14ac:dyDescent="0.25">
      <c r="A48" s="173">
        <v>17</v>
      </c>
      <c r="B48" s="488" t="s">
        <v>160</v>
      </c>
      <c r="C48" s="489"/>
      <c r="D48" s="489"/>
      <c r="E48" s="489"/>
      <c r="F48" s="105">
        <f>NetProfitThisYear/Data!G14</f>
        <v>0</v>
      </c>
      <c r="G48" s="514" t="s">
        <v>29</v>
      </c>
      <c r="H48" s="514"/>
      <c r="I48" s="514"/>
      <c r="J48" s="5"/>
      <c r="K48" s="530" t="str">
        <f>IF(F37="none","",IF(F37&lt;=2,"The dividend may be in danger of being cut",""))</f>
        <v/>
      </c>
      <c r="L48" s="531"/>
      <c r="M48" s="531"/>
      <c r="N48" s="531"/>
      <c r="O48" s="531"/>
      <c r="P48" s="244">
        <f>IF(K48="The dividend may be in danger of being cut",Q48,0)</f>
        <v>0</v>
      </c>
      <c r="Q48" s="244">
        <v>-4</v>
      </c>
      <c r="V48" s="171" t="str">
        <f>IF(K48="The dividend may be in danger of being cut","Line 12","")</f>
        <v/>
      </c>
      <c r="W48" s="35"/>
      <c r="X48" s="178"/>
    </row>
    <row r="49" spans="1:24" ht="12.75" customHeight="1" x14ac:dyDescent="0.25">
      <c r="A49" s="173"/>
      <c r="B49" s="2"/>
      <c r="C49" s="46" t="s">
        <v>164</v>
      </c>
      <c r="D49" s="114"/>
      <c r="E49" s="114"/>
      <c r="F49" s="104"/>
      <c r="G49" s="487" t="s">
        <v>180</v>
      </c>
      <c r="H49" s="487"/>
      <c r="I49" s="543"/>
      <c r="J49" s="385">
        <v>6</v>
      </c>
      <c r="K49" s="530"/>
      <c r="L49" s="531"/>
      <c r="M49" s="531"/>
      <c r="N49" s="531"/>
      <c r="O49" s="531"/>
      <c r="P49" s="244"/>
      <c r="Q49" s="244"/>
      <c r="V49" s="171"/>
      <c r="W49" s="35"/>
      <c r="X49" s="178"/>
    </row>
    <row r="50" spans="1:24" ht="12.75" customHeight="1" x14ac:dyDescent="0.25">
      <c r="A50" s="173">
        <v>18</v>
      </c>
      <c r="B50" s="488" t="s">
        <v>161</v>
      </c>
      <c r="C50" s="489"/>
      <c r="D50" s="489"/>
      <c r="E50" s="489"/>
      <c r="F50" s="105">
        <f>NetProfitThisYear/TotalStockholdersEquity</f>
        <v>0</v>
      </c>
      <c r="G50" s="514" t="s">
        <v>30</v>
      </c>
      <c r="H50" s="514"/>
      <c r="I50" s="514"/>
      <c r="J50" s="5"/>
      <c r="K50" s="530"/>
      <c r="L50" s="531"/>
      <c r="M50" s="531"/>
      <c r="N50" s="531"/>
      <c r="O50" s="531"/>
      <c r="P50" s="244"/>
      <c r="Q50" s="244"/>
      <c r="R50" s="48"/>
      <c r="S50" s="48"/>
      <c r="T50" s="140" t="str">
        <f t="shared" si="1"/>
        <v/>
      </c>
      <c r="U50" s="35"/>
      <c r="V50" s="171"/>
      <c r="W50" s="35"/>
      <c r="X50" s="178"/>
    </row>
    <row r="51" spans="1:24" ht="13.8" x14ac:dyDescent="0.3">
      <c r="A51" s="173"/>
      <c r="B51" s="2"/>
      <c r="C51" s="46" t="s">
        <v>28</v>
      </c>
      <c r="D51" s="114"/>
      <c r="E51" s="114"/>
      <c r="F51" s="69"/>
      <c r="G51" s="486" t="s">
        <v>204</v>
      </c>
      <c r="H51" s="487"/>
      <c r="I51" s="487"/>
      <c r="J51" s="5"/>
      <c r="K51" s="588"/>
      <c r="L51" s="589"/>
      <c r="M51" s="589"/>
      <c r="N51" s="589"/>
      <c r="O51" s="589"/>
      <c r="P51" s="244"/>
      <c r="Q51" s="244"/>
      <c r="R51" s="48"/>
      <c r="S51" s="48"/>
      <c r="T51" s="140" t="str">
        <f t="shared" si="1"/>
        <v/>
      </c>
      <c r="U51" s="35"/>
      <c r="V51" s="171"/>
      <c r="W51" s="35"/>
    </row>
    <row r="52" spans="1:24" ht="12.75" customHeight="1" x14ac:dyDescent="0.25">
      <c r="A52" s="173">
        <v>19</v>
      </c>
      <c r="B52" s="508"/>
      <c r="C52" s="508"/>
      <c r="D52" s="508"/>
      <c r="E52" s="508"/>
      <c r="F52" s="425"/>
      <c r="G52" s="540"/>
      <c r="H52" s="540"/>
      <c r="I52" s="541"/>
      <c r="J52" s="388" t="s">
        <v>560</v>
      </c>
      <c r="K52" s="590"/>
      <c r="L52" s="591"/>
      <c r="M52" s="591"/>
      <c r="N52" s="591"/>
      <c r="O52" s="591"/>
      <c r="P52" s="244">
        <f>IF(K52="Short Interest is becoming a concern--Is it also increasing?",Q52,0)</f>
        <v>-4</v>
      </c>
      <c r="Q52" s="244">
        <v>-4</v>
      </c>
      <c r="R52" s="48"/>
      <c r="S52" s="48"/>
      <c r="T52" s="140"/>
      <c r="U52" s="35"/>
      <c r="V52" s="172"/>
      <c r="W52" s="35"/>
    </row>
    <row r="53" spans="1:24" x14ac:dyDescent="0.25">
      <c r="A53" s="173"/>
      <c r="B53" s="2"/>
      <c r="C53" s="6"/>
      <c r="D53" s="57"/>
      <c r="E53" s="58"/>
      <c r="F53" s="58"/>
      <c r="G53" s="518"/>
      <c r="H53" s="518"/>
      <c r="I53" s="518"/>
      <c r="J53" s="50"/>
      <c r="K53" s="581" t="s">
        <v>664</v>
      </c>
      <c r="L53" s="582"/>
      <c r="M53" s="582"/>
      <c r="N53" s="582"/>
      <c r="O53" s="582"/>
      <c r="P53" s="392"/>
      <c r="Q53" s="392"/>
      <c r="R53" s="81"/>
      <c r="S53" s="81"/>
      <c r="T53" s="393"/>
      <c r="U53" s="393"/>
      <c r="V53" s="394">
        <f ca="1">COUNTIF(V30:V50,"*L*")</f>
        <v>7</v>
      </c>
      <c r="W53" s="35"/>
    </row>
    <row r="54" spans="1:24" x14ac:dyDescent="0.25">
      <c r="A54" s="173"/>
      <c r="B54" s="2"/>
      <c r="C54" s="56"/>
      <c r="D54" s="57"/>
      <c r="E54" s="131" t="s">
        <v>109</v>
      </c>
      <c r="F54" s="130" t="s">
        <v>114</v>
      </c>
      <c r="G54" s="52"/>
      <c r="H54" s="53"/>
      <c r="I54" s="2"/>
      <c r="J54" s="387">
        <v>8</v>
      </c>
      <c r="K54" s="175"/>
      <c r="L54" s="167"/>
      <c r="M54" s="167"/>
      <c r="N54" s="167"/>
      <c r="O54" s="167"/>
      <c r="P54" s="167">
        <f ca="1">COUNT(P30:P53)</f>
        <v>18</v>
      </c>
      <c r="Q54" s="244">
        <f>SUM(Q30:Q52)</f>
        <v>-80</v>
      </c>
      <c r="R54" s="48"/>
      <c r="S54" s="48"/>
      <c r="T54" s="140"/>
      <c r="U54" s="35"/>
      <c r="W54" s="35"/>
    </row>
    <row r="55" spans="1:24" ht="15.75" customHeight="1" x14ac:dyDescent="0.25">
      <c r="A55" s="173">
        <v>20</v>
      </c>
      <c r="B55" s="496" t="s">
        <v>115</v>
      </c>
      <c r="C55" s="497"/>
      <c r="D55" s="497"/>
      <c r="E55" s="292" t="e">
        <f>X28/X27-1</f>
        <v>#DIV/0!</v>
      </c>
      <c r="F55" s="190">
        <f>IF(OR(X32&lt;=0,COUNT(X31,X32)&lt;2),"NA",ROUND((X31/X32-1),2))</f>
        <v>0.28999999999999998</v>
      </c>
      <c r="G55" s="544" t="e">
        <f>IF(NetCashOperationsThisYear="--","Data not reported",IF(E55&gt;F55,"Oops - Net Cash is growing at a slower rate than Net Income",IF(F55&gt;E55,"Net Cash is growing faster than Net Income.  That normally is positive","")))</f>
        <v>#DIV/0!</v>
      </c>
      <c r="H55" s="545"/>
      <c r="I55" s="545"/>
      <c r="K55" s="176" t="str">
        <f>Data!I76</f>
        <v/>
      </c>
      <c r="L55" s="167"/>
      <c r="M55" s="167"/>
      <c r="N55" s="167"/>
      <c r="O55" s="167"/>
      <c r="P55" s="167"/>
      <c r="Q55" s="167"/>
      <c r="R55" s="48"/>
      <c r="S55" s="48"/>
      <c r="T55" s="140" t="str">
        <f t="shared" si="1"/>
        <v/>
      </c>
      <c r="U55" s="35"/>
      <c r="V55" s="35"/>
      <c r="W55" s="35"/>
    </row>
    <row r="56" spans="1:24" x14ac:dyDescent="0.25">
      <c r="A56" s="173"/>
      <c r="B56" s="2"/>
      <c r="C56" s="549" t="str">
        <f>IF(COUNT(E55)&lt;1,"",IF(E55&lt;0.01,"Caution - Net Income is declining","Net Income is growing"))</f>
        <v/>
      </c>
      <c r="D56" s="550"/>
      <c r="E56" s="551"/>
      <c r="F56" s="551"/>
      <c r="G56" s="515" t="str">
        <f>IF(COUNT(F55)&lt;1,"",IF(F55&lt;0.01,"    Caution - Net Cash is declining","    Net Cash is growing"))</f>
        <v xml:space="preserve">    Net Cash is growing</v>
      </c>
      <c r="H56" s="515"/>
      <c r="I56" s="515"/>
      <c r="J56" s="389"/>
      <c r="K56" s="175"/>
      <c r="L56" s="167"/>
      <c r="M56" s="167"/>
      <c r="N56" s="167"/>
      <c r="O56" s="167"/>
      <c r="P56" s="48" t="e">
        <f>IF(G55="Oops - Net Cash is growing at a slower rate than Net Income",-1,IF(G55="Net Cash is growing faster than Net Income.  That normally is positive",1,0))</f>
        <v>#DIV/0!</v>
      </c>
      <c r="Q56" s="48" t="e">
        <f>IF(R56=99,"",IF(P56&gt;0,P56*3,0))</f>
        <v>#DIV/0!</v>
      </c>
      <c r="R56" s="48" t="e">
        <f>IF(G55="Oops - Net Cash is growing at a slower rate than Net Income",-1,IF(G55="Net Cash is growing faster than Net Income.  That normally is positive",1,0))</f>
        <v>#DIV/0!</v>
      </c>
      <c r="S56" s="48" t="str">
        <f>IF(T56=99,"",IF(R56&gt;0,R56*3,0))</f>
        <v/>
      </c>
      <c r="T56" s="140">
        <f t="shared" si="1"/>
        <v>99</v>
      </c>
      <c r="U56" s="35">
        <v>3</v>
      </c>
      <c r="V56" s="35"/>
      <c r="W56" s="35"/>
    </row>
    <row r="57" spans="1:24" x14ac:dyDescent="0.25">
      <c r="A57" s="173">
        <v>21</v>
      </c>
      <c r="B57" s="471" t="s">
        <v>70</v>
      </c>
      <c r="C57" s="472"/>
      <c r="D57" s="66">
        <f>IF(COUNT(X18)&lt;1,NA(),(X7)/X18)</f>
        <v>2.5447802082016269</v>
      </c>
      <c r="E57" s="554" t="s">
        <v>120</v>
      </c>
      <c r="F57" s="554"/>
      <c r="G57" s="555"/>
      <c r="H57" s="482" t="str">
        <f>IF(COUNT(D57)&lt;1,"",IF(D57&gt;0.00001,"This represents actual cash included in the","A small or negative amount isn't considered too "))</f>
        <v>This represents actual cash included in the</v>
      </c>
      <c r="I57" s="483"/>
      <c r="J57" s="163"/>
      <c r="K57" s="122"/>
      <c r="L57" s="167"/>
      <c r="M57" s="167"/>
      <c r="N57" s="167"/>
      <c r="O57" s="167"/>
      <c r="P57" s="48">
        <f>IF(G56="    Caution - Net Cash is declining",0,IF(G56="    Net Cash is growing",1,0))</f>
        <v>1</v>
      </c>
      <c r="Q57" s="48">
        <f>IF(R57=99,"",IF(P57&gt;0,P57*3,0))</f>
        <v>3</v>
      </c>
      <c r="R57" s="48">
        <f>IF(G56="    Caution - Net Cash is declining",0,IF(G56="    Net Cash is growing",1,0))</f>
        <v>1</v>
      </c>
      <c r="S57" s="48">
        <f>IF(T57=99,"",IF(R57&gt;0,R57*3,0))</f>
        <v>3</v>
      </c>
      <c r="T57" s="140" t="str">
        <f t="shared" si="1"/>
        <v/>
      </c>
      <c r="U57" s="35">
        <v>3</v>
      </c>
      <c r="V57" s="35"/>
      <c r="W57" s="35"/>
    </row>
    <row r="58" spans="1:24" x14ac:dyDescent="0.25">
      <c r="A58" s="173"/>
      <c r="B58" s="2"/>
      <c r="C58" s="3" t="s">
        <v>113</v>
      </c>
      <c r="D58" s="484" t="s">
        <v>71</v>
      </c>
      <c r="E58" s="484"/>
      <c r="F58" s="484"/>
      <c r="G58" s="484"/>
      <c r="H58" s="477" t="str">
        <f>IF(COUNT(D57)&lt;1,"",IF(D57&gt;0.00001,"price of each share of stock. If significant, (perhaps","serious.  But if cash is shrinking and debt is growing,"))</f>
        <v>price of each share of stock. If significant, (perhaps</v>
      </c>
      <c r="I58" s="477"/>
      <c r="J58" s="112"/>
      <c r="K58" s="36" t="s">
        <v>92</v>
      </c>
      <c r="L58"/>
      <c r="M58"/>
      <c r="N58"/>
      <c r="O58"/>
      <c r="P58" s="48">
        <f>IF(C56="Caution - Net Income is declining",0,IF(C56="Net Income is growing",1,0))</f>
        <v>0</v>
      </c>
      <c r="Q58" s="48">
        <f>IF(R58=99,"",IF(P58&gt;0,P58*3,0))</f>
        <v>0</v>
      </c>
      <c r="R58" s="48">
        <f>IF(C56="Caution - Net Income is declining",0,IF(C56="Net Income is growing",1,0))</f>
        <v>0</v>
      </c>
      <c r="S58" s="48">
        <f>IF(T58=99,"",IF(R58&gt;0,R58*3,0))</f>
        <v>0</v>
      </c>
      <c r="T58" s="140" t="str">
        <f t="shared" si="1"/>
        <v/>
      </c>
      <c r="U58" s="35">
        <v>3</v>
      </c>
      <c r="V58" s="35"/>
      <c r="W58" s="35"/>
    </row>
    <row r="59" spans="1:24" x14ac:dyDescent="0.25">
      <c r="A59" s="173"/>
      <c r="B59" s="2"/>
      <c r="C59" s="517" t="str">
        <f ca="1">IF(D57/CurrentPrice&gt;0.2,"Good, Cash Position is meaningful - greater than 20% of current price","Oops, Cash Position is not meaningful - less than 20% of current price")</f>
        <v>Oops, Cash Position is not meaningful - less than 20% of current price</v>
      </c>
      <c r="D59" s="517"/>
      <c r="E59" s="517"/>
      <c r="F59" s="517"/>
      <c r="G59" s="517"/>
      <c r="H59" s="477" t="str">
        <f>IF(COUNT(D57)&lt;1,"",IF(D57&gt;0.00001,"20% of the share price) it's very positive.","the company may be in weak financial shape."))</f>
        <v>20% of the share price) it's very positive.</v>
      </c>
      <c r="I59" s="477"/>
      <c r="J59" s="37"/>
      <c r="K59" s="36" t="s">
        <v>93</v>
      </c>
      <c r="L59"/>
      <c r="M59"/>
      <c r="N59"/>
      <c r="O59"/>
      <c r="P59" s="48"/>
      <c r="Q59" s="48"/>
      <c r="R59" s="48"/>
      <c r="S59" s="48"/>
      <c r="T59" s="140" t="str">
        <f t="shared" si="1"/>
        <v/>
      </c>
      <c r="U59" s="35"/>
      <c r="V59" s="35"/>
      <c r="W59" s="35"/>
    </row>
    <row r="60" spans="1:24" x14ac:dyDescent="0.25">
      <c r="A60" s="173"/>
      <c r="B60" s="516" t="str">
        <f ca="1">IF(F60&gt;0.15,"At greater than 15%, cash per share may become a factor at",IF(D57&gt;0.2,"Cash position per share is:"))</f>
        <v>Cash position per share is:</v>
      </c>
      <c r="C60" s="516"/>
      <c r="D60" s="516"/>
      <c r="E60" s="516"/>
      <c r="F60" s="280">
        <f ca="1">D57/X34</f>
        <v>1.6681613950846455E-2</v>
      </c>
      <c r="J60" s="39"/>
      <c r="K60" s="36" t="s">
        <v>94</v>
      </c>
      <c r="L60" s="55"/>
      <c r="M60" s="55"/>
      <c r="N60" s="55"/>
      <c r="O60" s="55"/>
      <c r="P60" s="48">
        <f ca="1">IF(C59="Oops, Cash Position is not meaningful - less than 20% of current price",-1,IF(C59="Good, Cash Position is meaningful - greater than 20% of current price",1,0))</f>
        <v>-1</v>
      </c>
      <c r="Q60" s="48">
        <f ca="1">IF(P60&gt;0,P60*3,0)</f>
        <v>0</v>
      </c>
      <c r="R60" s="48">
        <f ca="1">IF(C59="Oops, Cash Position is not meaningful - less than 20% of current price",-1,IF(C59="Good, Cash Position is meaningful - greater than 20% of current price",1,0))</f>
        <v>-1</v>
      </c>
      <c r="S60" s="48">
        <f ca="1">IF(R60&gt;0,R60*3,0)</f>
        <v>0</v>
      </c>
      <c r="T60" s="140" t="str">
        <f t="shared" ca="1" si="1"/>
        <v/>
      </c>
      <c r="U60" s="35">
        <v>3</v>
      </c>
      <c r="V60" s="35"/>
      <c r="W60" s="35"/>
    </row>
    <row r="61" spans="1:24" ht="13.8" x14ac:dyDescent="0.3">
      <c r="A61" s="173"/>
      <c r="B61" s="306"/>
      <c r="C61" s="307"/>
      <c r="D61" s="308"/>
      <c r="E61" s="309"/>
      <c r="F61" s="155"/>
      <c r="G61" s="513"/>
      <c r="H61" s="513"/>
      <c r="I61" s="156"/>
      <c r="J61" s="38"/>
      <c r="K61" s="36" t="s">
        <v>96</v>
      </c>
      <c r="L61" s="168"/>
      <c r="M61" s="168"/>
      <c r="N61" s="168"/>
      <c r="O61" s="168"/>
      <c r="P61" s="48">
        <f>IF(G24="Caution, Long-term debt may be excessive -- Check Section 2B of the SSG -- ROE",-1,IF(G24="Long-term Debt is in normal range",1,IF(E24="No long-term debt",1,0)))</f>
        <v>0</v>
      </c>
      <c r="Q61" s="48">
        <f>IF(R61=99,"",IF(P61&gt;0,P61*3,0))</f>
        <v>0</v>
      </c>
      <c r="R61" s="48">
        <f>IF(G24="Caution, Long-term debt may be excessive -- Check Section 2B of the SSG -- ROE",-1,IF(G24="Long-term Debt is in normal range",1,IF(G24="No long-term debt",1,0)))</f>
        <v>0</v>
      </c>
      <c r="S61" s="48">
        <f>IF(T61=99,"",IF(R61&gt;0,R61*3,0))</f>
        <v>0</v>
      </c>
      <c r="T61" s="140" t="str">
        <f t="shared" si="1"/>
        <v/>
      </c>
      <c r="U61" s="35">
        <v>2</v>
      </c>
      <c r="V61" s="35"/>
      <c r="W61" s="35"/>
    </row>
    <row r="62" spans="1:24" x14ac:dyDescent="0.25">
      <c r="A62" s="173"/>
      <c r="B62" s="2"/>
      <c r="C62" s="512" t="s">
        <v>184</v>
      </c>
      <c r="D62" s="512"/>
      <c r="E62" s="512"/>
      <c r="F62" s="512"/>
      <c r="G62" s="512"/>
      <c r="H62" s="512"/>
      <c r="I62" s="512"/>
      <c r="J62" s="90"/>
      <c r="K62" s="90"/>
      <c r="L62" s="169"/>
      <c r="M62" s="168"/>
      <c r="N62" s="168"/>
      <c r="O62" s="168"/>
      <c r="P62" s="48"/>
      <c r="Q62" s="48"/>
      <c r="R62" s="48"/>
      <c r="S62" s="48"/>
      <c r="T62" s="140"/>
      <c r="U62" s="35"/>
      <c r="V62" s="35"/>
      <c r="W62" s="35"/>
    </row>
    <row r="63" spans="1:24" x14ac:dyDescent="0.25">
      <c r="A63" s="173"/>
      <c r="B63" s="2"/>
      <c r="C63" s="21" t="s">
        <v>75</v>
      </c>
      <c r="D63" s="64">
        <f>(TotalCurrentAssets-InventoriesThisYear)/X15</f>
        <v>0.84723539114961488</v>
      </c>
      <c r="E63" s="23" t="s">
        <v>76</v>
      </c>
      <c r="F63" s="552" t="s">
        <v>77</v>
      </c>
      <c r="G63" s="553"/>
      <c r="H63" s="553"/>
      <c r="I63" s="553"/>
      <c r="K63" s="55"/>
      <c r="L63" s="71"/>
      <c r="M63" s="5"/>
      <c r="N63" s="5"/>
      <c r="O63" s="5"/>
      <c r="P63" s="48" t="b">
        <f>IF(D63&gt;0.9999,1)</f>
        <v>0</v>
      </c>
      <c r="Q63" s="48">
        <f>P63*1</f>
        <v>0</v>
      </c>
      <c r="R63" s="48" t="b">
        <f>IF(D63&gt;0.9999,1)</f>
        <v>0</v>
      </c>
      <c r="S63" s="48">
        <f>R63*1</f>
        <v>0</v>
      </c>
      <c r="T63" s="140" t="str">
        <f t="shared" si="1"/>
        <v/>
      </c>
      <c r="U63" s="35">
        <v>1</v>
      </c>
      <c r="V63" s="35"/>
      <c r="W63" s="35"/>
    </row>
    <row r="64" spans="1:24" x14ac:dyDescent="0.25">
      <c r="A64" s="173"/>
      <c r="B64" s="2"/>
      <c r="C64" s="3" t="s">
        <v>37</v>
      </c>
      <c r="D64" s="2"/>
      <c r="E64" s="2"/>
      <c r="F64" s="5"/>
      <c r="G64" s="5"/>
      <c r="H64" s="5"/>
      <c r="I64" s="5"/>
      <c r="K64" s="55"/>
      <c r="L64" s="49"/>
      <c r="M64" s="5"/>
      <c r="N64" s="5"/>
      <c r="O64" s="5"/>
      <c r="P64" s="48"/>
      <c r="Q64" s="48"/>
      <c r="R64" s="48"/>
      <c r="S64" s="48"/>
      <c r="T64" s="140" t="str">
        <f t="shared" si="1"/>
        <v/>
      </c>
      <c r="U64" s="35"/>
      <c r="V64" s="35"/>
      <c r="W64" s="35"/>
    </row>
    <row r="65" spans="1:24" x14ac:dyDescent="0.25">
      <c r="A65" s="173"/>
      <c r="B65" s="2"/>
      <c r="C65" s="2"/>
      <c r="D65" s="2"/>
      <c r="E65" s="2"/>
      <c r="F65" s="2"/>
      <c r="G65" s="2"/>
      <c r="H65" s="2"/>
      <c r="I65" s="2"/>
      <c r="J65" s="385">
        <v>9</v>
      </c>
      <c r="K65" s="94"/>
      <c r="L65" s="54"/>
      <c r="M65" s="55"/>
      <c r="N65" s="55"/>
      <c r="O65" s="55"/>
      <c r="P65" s="48"/>
      <c r="Q65" s="48"/>
      <c r="R65" s="48"/>
      <c r="S65" s="48"/>
      <c r="T65" s="140" t="str">
        <f t="shared" si="1"/>
        <v/>
      </c>
      <c r="U65" s="35"/>
      <c r="V65" s="35"/>
      <c r="W65" s="35"/>
    </row>
    <row r="66" spans="1:24" x14ac:dyDescent="0.25">
      <c r="A66" s="173"/>
      <c r="B66" s="2"/>
      <c r="C66" s="21" t="s">
        <v>35</v>
      </c>
      <c r="D66" s="61">
        <f>IF(OR(X15&lt;=0,COUNT(X12,X15)&lt;2),NA(),X12/X15)</f>
        <v>0.87935602862672257</v>
      </c>
      <c r="E66" s="22" t="s">
        <v>76</v>
      </c>
      <c r="F66" s="510" t="s">
        <v>78</v>
      </c>
      <c r="G66" s="511"/>
      <c r="H66" s="511"/>
      <c r="I66" s="511"/>
      <c r="J66" s="72"/>
      <c r="K66" s="5"/>
      <c r="L66" s="89"/>
      <c r="M66" s="324"/>
      <c r="N66" s="324"/>
      <c r="O66" s="324"/>
      <c r="P66" s="48" t="b">
        <f>IF(D66&gt;1.999,1)</f>
        <v>0</v>
      </c>
      <c r="Q66" s="48">
        <f>P66*1</f>
        <v>0</v>
      </c>
      <c r="R66" s="48" t="b">
        <f>IF(D66&gt;1.999,1)</f>
        <v>0</v>
      </c>
      <c r="S66" s="48">
        <f>R66*1</f>
        <v>0</v>
      </c>
      <c r="T66" s="140" t="str">
        <f t="shared" si="1"/>
        <v/>
      </c>
      <c r="U66" s="35">
        <v>1</v>
      </c>
      <c r="V66" s="35"/>
      <c r="W66" s="35"/>
    </row>
    <row r="67" spans="1:24" x14ac:dyDescent="0.25">
      <c r="A67" s="173"/>
      <c r="B67" s="2"/>
      <c r="C67" s="145" t="s">
        <v>36</v>
      </c>
      <c r="D67" s="2"/>
      <c r="E67" s="2"/>
      <c r="F67" s="2"/>
      <c r="G67" s="2"/>
      <c r="H67" s="2"/>
      <c r="I67" s="2"/>
      <c r="J67" s="5"/>
      <c r="K67" s="5"/>
      <c r="L67" s="87"/>
      <c r="M67" s="324"/>
      <c r="N67" s="324"/>
      <c r="O67" s="324"/>
      <c r="P67" s="48"/>
      <c r="Q67" s="48"/>
      <c r="R67" s="48"/>
      <c r="S67" s="48"/>
      <c r="T67" s="140" t="str">
        <f t="shared" si="1"/>
        <v/>
      </c>
      <c r="U67" s="35"/>
      <c r="V67" s="35"/>
      <c r="W67" s="35"/>
    </row>
    <row r="68" spans="1:24" x14ac:dyDescent="0.25">
      <c r="A68" s="173"/>
      <c r="B68" s="2"/>
      <c r="C68" s="3" t="s">
        <v>79</v>
      </c>
      <c r="D68" s="2"/>
      <c r="E68" s="2"/>
      <c r="F68" s="2"/>
      <c r="G68" s="2"/>
      <c r="H68" s="2"/>
      <c r="I68" s="2"/>
      <c r="J68" s="152"/>
      <c r="K68" s="55"/>
      <c r="L68" s="91"/>
      <c r="M68" s="324"/>
      <c r="N68" s="324"/>
      <c r="O68" s="324"/>
      <c r="P68" s="48"/>
      <c r="Q68" s="48"/>
      <c r="R68" s="48"/>
      <c r="S68" s="48"/>
      <c r="T68" s="140" t="str">
        <f t="shared" si="1"/>
        <v/>
      </c>
      <c r="U68" s="35"/>
      <c r="V68" s="35"/>
      <c r="W68" s="35"/>
    </row>
    <row r="69" spans="1:24" ht="15.75" customHeight="1" x14ac:dyDescent="0.25">
      <c r="A69" s="173"/>
      <c r="B69" s="2"/>
      <c r="C69" s="21" t="s">
        <v>80</v>
      </c>
      <c r="D69" s="61">
        <f>IF(X10=0,"No",X24/X10)</f>
        <v>0</v>
      </c>
      <c r="E69" s="22" t="str">
        <f>IF(D69="no","inventory","to 1")</f>
        <v>inventory</v>
      </c>
      <c r="F69" s="510" t="s">
        <v>81</v>
      </c>
      <c r="G69" s="511"/>
      <c r="H69" s="511"/>
      <c r="I69" s="511"/>
      <c r="K69" s="88"/>
      <c r="L69" s="87"/>
      <c r="M69" s="324"/>
      <c r="N69" s="324"/>
      <c r="O69" s="324"/>
      <c r="P69" s="48"/>
      <c r="Q69" s="48"/>
      <c r="R69" s="48"/>
      <c r="S69" s="48"/>
      <c r="T69" s="140" t="str">
        <f t="shared" si="1"/>
        <v/>
      </c>
      <c r="U69" s="35"/>
      <c r="V69" s="35"/>
      <c r="W69" s="35"/>
    </row>
    <row r="70" spans="1:24" ht="12" customHeight="1" x14ac:dyDescent="0.25">
      <c r="A70" s="173"/>
      <c r="B70" s="2"/>
      <c r="C70" s="3" t="s">
        <v>82</v>
      </c>
      <c r="D70" s="2"/>
      <c r="E70" s="2"/>
      <c r="F70" s="5" t="s">
        <v>101</v>
      </c>
      <c r="G70" s="5"/>
      <c r="H70" s="5"/>
      <c r="I70" s="5"/>
      <c r="J70" s="5"/>
      <c r="K70" s="5"/>
      <c r="L70" s="49"/>
      <c r="M70" s="5"/>
      <c r="N70" s="5"/>
      <c r="O70" s="5"/>
      <c r="P70" s="48"/>
      <c r="Q70" s="48"/>
      <c r="R70" s="48"/>
      <c r="S70" s="48"/>
      <c r="T70" s="140" t="str">
        <f t="shared" si="1"/>
        <v/>
      </c>
      <c r="U70" s="35"/>
      <c r="V70" s="35"/>
      <c r="W70" s="35"/>
    </row>
    <row r="71" spans="1:24" ht="12.75" customHeight="1" x14ac:dyDescent="0.25">
      <c r="A71" s="173"/>
      <c r="B71" s="2"/>
      <c r="C71" s="5"/>
      <c r="D71" s="2"/>
      <c r="E71" s="2"/>
      <c r="F71" s="486" t="str">
        <f>IF(D69&gt;25,"Why is this ratio so high? Check it out. Has Cost of Sales or Inventories changed greatly?","Inventory Ratio appears to be in a normal range")</f>
        <v>Inventory Ratio appears to be in a normal range</v>
      </c>
      <c r="G71" s="486"/>
      <c r="H71" s="486"/>
      <c r="I71" s="486"/>
      <c r="J71" s="90"/>
      <c r="K71" s="90"/>
      <c r="L71" s="13"/>
      <c r="M71" s="2"/>
      <c r="N71" s="2"/>
      <c r="O71" s="2"/>
      <c r="P71" s="48"/>
      <c r="Q71" s="48"/>
      <c r="R71" s="48"/>
      <c r="S71" s="48"/>
      <c r="T71" s="140" t="str">
        <f t="shared" si="1"/>
        <v/>
      </c>
      <c r="U71" s="35"/>
      <c r="V71" s="35"/>
      <c r="W71" s="35"/>
    </row>
    <row r="72" spans="1:24" ht="13.5" customHeight="1" x14ac:dyDescent="0.25">
      <c r="A72" s="173"/>
      <c r="B72" s="2"/>
      <c r="C72" s="21" t="s">
        <v>83</v>
      </c>
      <c r="D72" s="61">
        <f>IF(COUNT(X22,X13)&lt;2,NA(),X22/X13)</f>
        <v>8.856696687972109</v>
      </c>
      <c r="E72" s="22" t="s">
        <v>76</v>
      </c>
      <c r="F72" s="165" t="s">
        <v>84</v>
      </c>
      <c r="G72" s="166"/>
      <c r="H72" s="166"/>
      <c r="I72" s="166"/>
      <c r="J72" s="166"/>
      <c r="K72" s="166"/>
      <c r="L72" s="71"/>
      <c r="M72" s="5"/>
      <c r="N72" s="5"/>
      <c r="O72" s="5"/>
      <c r="P72" s="48">
        <f>IF(F71="Why is this ratio so high? Check it out. Has Cost of Sales or Inventories changed greatly?",0,IF(F71="Inventory Ratio appears to be in a normal range",1))</f>
        <v>1</v>
      </c>
      <c r="Q72" s="48">
        <f>IF(R72=99,"",IF(P72&gt;0,P72*3,0))</f>
        <v>3</v>
      </c>
      <c r="R72" s="48">
        <f>IF(F71="Why is this ratio so high? Check it out. Has Cost of Sales or Inventories changed greatly?",0,IF(F71="Inventory Ratio appears to be in a normal range",1))</f>
        <v>1</v>
      </c>
      <c r="S72" s="48">
        <f>IF(T72=99,"",IF(R72&gt;0,R72*3,0))</f>
        <v>3</v>
      </c>
      <c r="T72" s="140" t="str">
        <f t="shared" si="1"/>
        <v/>
      </c>
      <c r="U72" s="35">
        <v>2</v>
      </c>
      <c r="V72" s="35"/>
      <c r="W72" s="35"/>
    </row>
    <row r="73" spans="1:24" ht="13.5" customHeight="1" x14ac:dyDescent="0.25">
      <c r="A73" s="173"/>
      <c r="B73" s="2"/>
      <c r="C73" s="3" t="s">
        <v>85</v>
      </c>
      <c r="D73" s="2"/>
      <c r="E73" s="5" t="s">
        <v>88</v>
      </c>
      <c r="F73" s="5"/>
      <c r="G73" s="5"/>
      <c r="H73" s="5"/>
      <c r="I73" s="5"/>
      <c r="J73" s="5"/>
      <c r="K73" s="5"/>
      <c r="L73" s="49"/>
      <c r="M73" s="5"/>
      <c r="N73" s="5"/>
      <c r="O73" s="5"/>
      <c r="P73" s="83"/>
      <c r="Q73" s="83"/>
      <c r="R73" s="48"/>
      <c r="S73" s="48"/>
      <c r="T73" s="140" t="str">
        <f t="shared" si="1"/>
        <v/>
      </c>
      <c r="U73" s="35"/>
      <c r="V73" s="35"/>
      <c r="W73" s="35"/>
    </row>
    <row r="74" spans="1:24" ht="12.75" customHeight="1" x14ac:dyDescent="0.25">
      <c r="A74" s="173"/>
      <c r="B74" s="2"/>
      <c r="C74" s="2"/>
      <c r="D74" s="2"/>
      <c r="E74" s="2"/>
      <c r="F74" s="2"/>
      <c r="G74" s="2"/>
      <c r="H74" s="2"/>
      <c r="I74" s="2"/>
      <c r="J74" s="93"/>
      <c r="K74" s="93"/>
      <c r="L74" s="5"/>
      <c r="M74" s="331"/>
      <c r="N74" s="5"/>
      <c r="O74" s="5"/>
      <c r="P74" s="246"/>
      <c r="Q74" s="246"/>
      <c r="R74" s="246"/>
      <c r="S74" s="246"/>
      <c r="T74" s="246"/>
      <c r="U74" s="246"/>
      <c r="V74" s="35"/>
      <c r="W74" s="35"/>
    </row>
    <row r="75" spans="1:24" ht="12" customHeight="1" x14ac:dyDescent="0.25">
      <c r="A75" s="173"/>
      <c r="B75" s="2"/>
      <c r="C75" s="24" t="s">
        <v>86</v>
      </c>
      <c r="D75" s="65">
        <f ca="1">IF(OR(X22&lt;=0,COUNT(X34,X22,X18)&lt;3),NA(),X34/(X22/X18))</f>
        <v>7.9155508901991984</v>
      </c>
      <c r="E75" s="40"/>
      <c r="F75" s="165" t="s">
        <v>95</v>
      </c>
      <c r="G75" s="166"/>
      <c r="H75" s="166"/>
      <c r="I75" s="166"/>
      <c r="J75" s="166"/>
      <c r="K75" s="166"/>
      <c r="L75" s="71"/>
      <c r="M75" s="5"/>
      <c r="N75" s="5"/>
      <c r="O75" s="5"/>
      <c r="P75" s="96" t="e">
        <f>SUM(P3:P72)</f>
        <v>#VALUE!</v>
      </c>
      <c r="Q75" s="96" t="e">
        <f>SUM(Q6:Q72)</f>
        <v>#DIV/0!</v>
      </c>
      <c r="R75" s="96" t="e">
        <f t="shared" ref="R75:U75" si="7">SUM(R6:R72)</f>
        <v>#VALUE!</v>
      </c>
      <c r="S75" s="96" t="e">
        <f t="shared" ca="1" si="7"/>
        <v>#DIV/0!</v>
      </c>
      <c r="T75" s="96">
        <f t="shared" ca="1" si="7"/>
        <v>396</v>
      </c>
      <c r="U75" s="96">
        <f t="shared" si="7"/>
        <v>96</v>
      </c>
      <c r="V75" s="35"/>
      <c r="W75" s="35"/>
    </row>
    <row r="76" spans="1:24" ht="12.75" customHeight="1" x14ac:dyDescent="0.25">
      <c r="A76" s="173"/>
      <c r="B76" s="2"/>
      <c r="C76" s="6" t="s">
        <v>106</v>
      </c>
      <c r="D76" s="2"/>
      <c r="E76" s="2"/>
      <c r="F76" s="5" t="s">
        <v>318</v>
      </c>
      <c r="G76" s="5"/>
      <c r="H76" s="5"/>
      <c r="I76" s="5"/>
      <c r="J76" s="5"/>
      <c r="K76" s="5"/>
      <c r="L76" s="49"/>
      <c r="M76" s="5"/>
      <c r="N76" s="5"/>
      <c r="O76" s="5"/>
      <c r="P76" s="83"/>
      <c r="Q76" s="83"/>
      <c r="R76" s="48"/>
      <c r="S76" s="48"/>
      <c r="T76" s="140" t="str">
        <f t="shared" ref="T76:T93" si="8">IF(ISERROR(R76),99,"")</f>
        <v/>
      </c>
      <c r="U76" s="35"/>
      <c r="V76" s="35"/>
      <c r="W76" s="35"/>
    </row>
    <row r="77" spans="1:24" ht="13.8" x14ac:dyDescent="0.25">
      <c r="A77" s="173"/>
      <c r="B77" s="2"/>
      <c r="C77" s="562" t="s">
        <v>123</v>
      </c>
      <c r="D77" s="562"/>
      <c r="E77" s="562"/>
      <c r="F77" s="562"/>
      <c r="G77" s="562"/>
      <c r="H77" s="562"/>
      <c r="I77" s="562"/>
      <c r="J77" s="562"/>
      <c r="K77" s="562"/>
      <c r="L77" s="563"/>
      <c r="M77" s="325"/>
      <c r="N77" s="325"/>
      <c r="O77" s="325"/>
      <c r="P77" s="245"/>
      <c r="Q77" s="245"/>
      <c r="R77" s="48"/>
      <c r="S77" s="48"/>
      <c r="T77" s="140" t="str">
        <f t="shared" si="8"/>
        <v/>
      </c>
      <c r="U77" s="35"/>
      <c r="V77" s="35"/>
      <c r="W77" s="35"/>
    </row>
    <row r="78" spans="1:24" ht="13.8" x14ac:dyDescent="0.25">
      <c r="B78" s="2"/>
      <c r="C78" s="509" t="str">
        <f>IF(H$91-F$91&lt;10,"","Fair Value may be out of date.  Please update the value.")</f>
        <v/>
      </c>
      <c r="D78" s="509"/>
      <c r="E78" s="509"/>
      <c r="F78" s="509"/>
      <c r="G78" s="2"/>
      <c r="H78" s="2"/>
      <c r="I78" s="341"/>
      <c r="J78" s="341"/>
      <c r="K78" s="341"/>
      <c r="L78" s="340" t="s">
        <v>859</v>
      </c>
      <c r="M78" s="326"/>
      <c r="N78" s="326"/>
      <c r="O78" s="326"/>
      <c r="R78" s="76"/>
      <c r="S78" s="48"/>
      <c r="T78" s="140" t="str">
        <f t="shared" si="8"/>
        <v/>
      </c>
      <c r="U78" s="35"/>
      <c r="V78" s="140"/>
      <c r="W78" s="140"/>
      <c r="X78" s="123"/>
    </row>
    <row r="79" spans="1:24" ht="16.2" x14ac:dyDescent="0.35">
      <c r="B79" s="2"/>
      <c r="C79" s="416" t="s">
        <v>945</v>
      </c>
      <c r="D79" s="417">
        <f ca="1">CurrentPrice</f>
        <v>152.55000000000001</v>
      </c>
      <c r="E79" s="564" t="s">
        <v>946</v>
      </c>
      <c r="F79" s="565"/>
      <c r="G79" s="565"/>
      <c r="H79" s="565"/>
      <c r="J79" s="243"/>
      <c r="K79" s="319"/>
      <c r="L79" s="320"/>
      <c r="M79" s="320"/>
      <c r="N79" s="320"/>
      <c r="O79" s="320"/>
      <c r="P79" s="1"/>
      <c r="Q79" s="48"/>
      <c r="S79" s="48"/>
      <c r="T79" s="140"/>
      <c r="U79" s="35"/>
      <c r="V79" s="35"/>
      <c r="W79" s="35"/>
      <c r="X79" s="123"/>
    </row>
    <row r="80" spans="1:24" ht="15.6" x14ac:dyDescent="0.3">
      <c r="B80" s="2"/>
      <c r="C80" s="418" t="s">
        <v>947</v>
      </c>
      <c r="D80" s="419">
        <v>159</v>
      </c>
      <c r="E80" s="566" t="str">
        <f ca="1">IF(H80&gt;0,"Company is selling at a discount of:","Company is over valued")</f>
        <v>Company is selling at a discount of:</v>
      </c>
      <c r="F80" s="566"/>
      <c r="G80" s="566"/>
      <c r="H80" s="423">
        <f ca="1">((D79/D80)-1)/-1</f>
        <v>4.0566037735848992E-2</v>
      </c>
      <c r="I80" s="542"/>
      <c r="J80" s="542"/>
      <c r="K80" s="321"/>
      <c r="P80" s="1"/>
      <c r="Q80" s="48"/>
      <c r="S80" s="48"/>
      <c r="T80" s="140"/>
      <c r="U80" s="35"/>
      <c r="V80" s="35"/>
      <c r="W80" s="35"/>
      <c r="X80" s="123"/>
    </row>
    <row r="81" spans="2:25" ht="13.8" x14ac:dyDescent="0.3">
      <c r="B81" s="2"/>
      <c r="C81" s="457" t="s">
        <v>948</v>
      </c>
      <c r="D81" s="458"/>
      <c r="E81" s="458"/>
      <c r="F81" s="458"/>
      <c r="G81" s="458"/>
      <c r="H81" s="556"/>
      <c r="I81" s="561"/>
      <c r="J81" s="561"/>
      <c r="K81" s="561"/>
      <c r="L81" s="561"/>
      <c r="M81" s="327"/>
      <c r="N81" s="327"/>
      <c r="O81" s="327"/>
      <c r="P81" s="48"/>
      <c r="Q81" s="48"/>
      <c r="R81" s="48"/>
      <c r="S81" s="48"/>
      <c r="T81" s="140"/>
      <c r="U81" s="35"/>
      <c r="V81" s="35"/>
      <c r="W81" s="35"/>
      <c r="X81" s="123"/>
    </row>
    <row r="82" spans="2:25" ht="15.6" x14ac:dyDescent="0.3">
      <c r="B82" s="2"/>
      <c r="C82" s="567" t="str">
        <f ca="1">IF(H82-F82&gt;20,"Enter the date IV the was updated (Todays date) &gt;&gt;","Intrinsic Value is up to date")</f>
        <v>Enter the date IV the was updated (Todays date) &gt;&gt;</v>
      </c>
      <c r="D82" s="568"/>
      <c r="E82" s="568"/>
      <c r="F82" s="569">
        <v>44648</v>
      </c>
      <c r="G82" s="570"/>
      <c r="H82" s="420">
        <f ca="1">TODAY()</f>
        <v>44987</v>
      </c>
      <c r="I82" s="337"/>
      <c r="J82" s="338"/>
      <c r="K82" s="339"/>
      <c r="L82" s="328"/>
      <c r="M82" s="328"/>
      <c r="N82" s="328"/>
      <c r="O82" s="328"/>
      <c r="P82" s="138"/>
      <c r="Q82" s="138"/>
      <c r="R82" s="48"/>
      <c r="S82" s="48"/>
      <c r="T82" s="140" t="str">
        <f t="shared" si="8"/>
        <v/>
      </c>
      <c r="U82" s="35"/>
      <c r="V82" s="35"/>
      <c r="W82" s="35"/>
      <c r="X82" s="123"/>
    </row>
    <row r="83" spans="2:25" ht="13.8" x14ac:dyDescent="0.25">
      <c r="B83" s="2"/>
      <c r="C83" s="421"/>
      <c r="D83" s="310"/>
      <c r="E83" s="310"/>
      <c r="F83" s="310"/>
      <c r="G83" s="310"/>
      <c r="H83" s="310"/>
      <c r="I83" s="560"/>
      <c r="J83" s="560"/>
      <c r="K83" s="560"/>
      <c r="L83" s="560"/>
      <c r="M83" s="329"/>
      <c r="N83" s="329"/>
      <c r="O83" s="329"/>
      <c r="P83" s="242"/>
      <c r="Q83" s="242"/>
      <c r="R83" s="48"/>
      <c r="S83" s="48"/>
      <c r="T83" s="140" t="str">
        <f t="shared" si="8"/>
        <v/>
      </c>
      <c r="U83" s="35"/>
      <c r="V83" s="35"/>
      <c r="W83" s="35"/>
      <c r="X83" s="123"/>
    </row>
    <row r="84" spans="2:25" ht="13.8" x14ac:dyDescent="0.3">
      <c r="B84" s="2"/>
      <c r="C84" s="311"/>
      <c r="I84" s="5"/>
      <c r="J84" s="5"/>
      <c r="K84" s="5"/>
      <c r="L84" s="5"/>
      <c r="M84" s="5"/>
      <c r="N84" s="5"/>
      <c r="O84" s="5"/>
      <c r="P84" s="140"/>
      <c r="Q84" s="140"/>
      <c r="R84" s="48"/>
      <c r="S84" s="48"/>
      <c r="T84" s="140"/>
      <c r="U84" s="140"/>
      <c r="V84" s="35"/>
      <c r="W84" s="35"/>
      <c r="X84" s="160"/>
    </row>
    <row r="85" spans="2:25" ht="61.8" customHeight="1" x14ac:dyDescent="0.25">
      <c r="B85" s="2"/>
      <c r="C85" s="557" t="s">
        <v>559</v>
      </c>
      <c r="D85" s="558"/>
      <c r="E85" s="558"/>
      <c r="F85" s="558"/>
      <c r="G85" s="558"/>
      <c r="H85" s="559"/>
      <c r="I85" s="5"/>
      <c r="J85" s="5"/>
      <c r="K85" s="5"/>
      <c r="L85" s="5"/>
      <c r="M85" s="5"/>
      <c r="N85" s="5"/>
      <c r="O85" s="5"/>
      <c r="P85" s="140"/>
      <c r="Q85" s="140"/>
      <c r="R85" s="48"/>
      <c r="S85" s="48"/>
      <c r="T85" s="140"/>
      <c r="U85" s="191"/>
      <c r="V85" s="35"/>
      <c r="W85" s="35"/>
      <c r="X85" s="159"/>
      <c r="Y85" s="92"/>
    </row>
    <row r="86" spans="2:25" ht="14.4" x14ac:dyDescent="0.3">
      <c r="B86" s="2"/>
      <c r="C86" s="311"/>
      <c r="D86" s="548"/>
      <c r="E86" s="548"/>
      <c r="F86" s="548"/>
      <c r="G86" s="548"/>
      <c r="H86" s="548"/>
      <c r="I86" s="243"/>
      <c r="J86" s="243"/>
      <c r="K86" s="243"/>
      <c r="L86" s="243"/>
      <c r="M86" s="243"/>
      <c r="N86" s="243"/>
      <c r="O86" s="243"/>
      <c r="P86" s="140"/>
      <c r="Q86" s="140"/>
      <c r="R86" s="48"/>
      <c r="S86" s="48"/>
      <c r="T86" s="140" t="str">
        <f t="shared" si="8"/>
        <v/>
      </c>
      <c r="U86" s="35"/>
      <c r="V86" s="35"/>
      <c r="W86" s="35"/>
      <c r="X86" s="48"/>
      <c r="Y86" s="92"/>
    </row>
    <row r="87" spans="2:25" x14ac:dyDescent="0.25">
      <c r="B87" s="2"/>
      <c r="C87" s="509"/>
      <c r="D87" s="509"/>
      <c r="E87" s="509"/>
      <c r="F87" s="509"/>
      <c r="G87" s="2"/>
      <c r="H87" s="2"/>
      <c r="P87" s="247"/>
      <c r="Q87" s="247"/>
      <c r="R87" s="48"/>
      <c r="S87" s="48"/>
      <c r="T87" s="140" t="str">
        <f t="shared" si="8"/>
        <v/>
      </c>
      <c r="U87" s="35"/>
      <c r="V87" s="35"/>
      <c r="W87" s="35"/>
      <c r="X87" s="141"/>
    </row>
    <row r="88" spans="2:25" ht="16.2" x14ac:dyDescent="0.35">
      <c r="B88" s="2"/>
      <c r="C88" s="313"/>
      <c r="D88" s="314"/>
      <c r="E88" s="499"/>
      <c r="F88" s="499"/>
      <c r="G88" s="499"/>
      <c r="H88" s="499"/>
      <c r="I88" s="299"/>
      <c r="J88" s="5"/>
      <c r="K88" s="5"/>
      <c r="L88" s="5"/>
      <c r="M88" s="5"/>
      <c r="N88" s="5"/>
      <c r="O88" s="5"/>
      <c r="P88" s="48"/>
      <c r="Q88" s="48"/>
      <c r="R88" s="48"/>
      <c r="S88" s="48"/>
      <c r="T88" s="140"/>
      <c r="U88" s="35"/>
      <c r="V88" s="35"/>
      <c r="W88" s="35"/>
    </row>
    <row r="89" spans="2:25" ht="15.6" x14ac:dyDescent="0.3">
      <c r="B89" s="2"/>
      <c r="C89" s="315"/>
      <c r="D89" s="312"/>
      <c r="E89" s="501"/>
      <c r="F89" s="501"/>
      <c r="G89" s="501"/>
      <c r="H89" s="316"/>
      <c r="I89" s="5"/>
      <c r="J89" s="5"/>
      <c r="K89" s="5"/>
      <c r="L89" s="5"/>
      <c r="M89" s="5"/>
      <c r="N89" s="5"/>
      <c r="O89" s="5"/>
      <c r="P89" s="83"/>
      <c r="Q89" s="83"/>
      <c r="R89" s="124"/>
      <c r="S89" s="48"/>
      <c r="T89" s="140"/>
      <c r="U89" s="35"/>
      <c r="V89" s="35"/>
      <c r="W89" s="35"/>
    </row>
    <row r="90" spans="2:25" ht="13.8" x14ac:dyDescent="0.3">
      <c r="B90" s="2"/>
      <c r="C90" s="500"/>
      <c r="D90" s="500"/>
      <c r="E90" s="500"/>
      <c r="F90" s="500"/>
      <c r="G90" s="500"/>
      <c r="H90" s="500"/>
      <c r="I90" s="243"/>
      <c r="J90" s="243"/>
      <c r="K90" s="243"/>
      <c r="L90" s="243"/>
      <c r="M90" s="243"/>
      <c r="N90" s="243"/>
      <c r="O90" s="243"/>
      <c r="P90" s="243"/>
      <c r="Q90" s="243"/>
      <c r="T90" s="140" t="str">
        <f>IF(ISERROR(S90),99,"")</f>
        <v/>
      </c>
      <c r="U90" s="35"/>
      <c r="V90" s="35"/>
      <c r="W90" s="35"/>
      <c r="X90" s="123"/>
    </row>
    <row r="91" spans="2:25" ht="15.6" x14ac:dyDescent="0.3">
      <c r="B91" s="2"/>
      <c r="C91" s="502"/>
      <c r="D91" s="502"/>
      <c r="E91" s="502"/>
      <c r="F91" s="479"/>
      <c r="G91" s="479"/>
      <c r="H91" s="317"/>
      <c r="I91" s="287"/>
      <c r="J91" s="243"/>
      <c r="K91" s="243"/>
      <c r="L91" s="243"/>
      <c r="M91" s="243"/>
      <c r="N91" s="243"/>
      <c r="O91" s="243"/>
      <c r="P91" s="243"/>
      <c r="Q91" s="243"/>
      <c r="T91" s="140"/>
      <c r="U91" s="35"/>
      <c r="V91" s="35"/>
      <c r="W91" s="35"/>
      <c r="X91" s="123"/>
    </row>
    <row r="92" spans="2:25" ht="15.6" x14ac:dyDescent="0.3">
      <c r="B92" s="2"/>
      <c r="C92" s="503"/>
      <c r="D92" s="503"/>
      <c r="E92" s="503"/>
      <c r="F92" s="503"/>
      <c r="G92" s="503"/>
      <c r="H92" s="503"/>
      <c r="I92" s="503"/>
      <c r="J92" s="503"/>
      <c r="K92" s="503"/>
      <c r="L92" s="503"/>
      <c r="M92" s="305"/>
      <c r="N92" s="305"/>
      <c r="O92" s="305"/>
      <c r="P92" s="248"/>
      <c r="Q92" s="248"/>
      <c r="T92" s="140"/>
      <c r="U92" s="35"/>
      <c r="V92" s="35"/>
      <c r="W92" s="35"/>
    </row>
    <row r="93" spans="2:25" ht="12.75" customHeight="1" x14ac:dyDescent="0.25">
      <c r="B93" s="2"/>
      <c r="C93" s="170"/>
      <c r="D93" s="170"/>
      <c r="E93" s="170"/>
      <c r="F93" s="170"/>
      <c r="G93" s="170"/>
      <c r="H93" s="170"/>
      <c r="I93" s="170"/>
      <c r="J93" s="170"/>
      <c r="K93" s="170"/>
      <c r="L93" s="170"/>
      <c r="M93" s="170"/>
      <c r="N93" s="170"/>
      <c r="O93" s="170"/>
      <c r="P93" s="249"/>
      <c r="Q93" s="249"/>
      <c r="R93" s="48"/>
      <c r="S93" s="48"/>
      <c r="T93" s="140" t="str">
        <f t="shared" si="8"/>
        <v/>
      </c>
      <c r="U93" s="35"/>
      <c r="V93" s="35"/>
    </row>
    <row r="94" spans="2:25" ht="17.25" customHeight="1" x14ac:dyDescent="0.25">
      <c r="B94" s="2"/>
      <c r="I94" s="323"/>
      <c r="J94" s="323"/>
      <c r="K94" s="323"/>
      <c r="L94" s="323"/>
      <c r="M94" s="323"/>
      <c r="N94" s="323"/>
      <c r="O94" s="323"/>
    </row>
    <row r="95" spans="2:25" ht="20.25" customHeight="1" x14ac:dyDescent="0.3">
      <c r="B95" s="2"/>
      <c r="C95" s="322"/>
      <c r="D95" s="322"/>
      <c r="E95" s="322"/>
      <c r="F95" s="322"/>
      <c r="G95" s="322"/>
      <c r="H95" s="322"/>
      <c r="P95" s="250"/>
      <c r="Q95" s="250"/>
    </row>
    <row r="96" spans="2:25" ht="15.75" customHeight="1" x14ac:dyDescent="0.25">
      <c r="B96" s="2"/>
      <c r="C96" s="300"/>
      <c r="D96" s="300"/>
      <c r="E96" s="300"/>
      <c r="F96" s="300"/>
      <c r="G96" s="300"/>
      <c r="H96" s="300"/>
      <c r="P96" s="251"/>
      <c r="Q96" s="251"/>
    </row>
    <row r="97" spans="2:17" ht="15.6" x14ac:dyDescent="0.3">
      <c r="B97" s="2"/>
      <c r="C97" s="2"/>
      <c r="D97" s="498"/>
      <c r="E97" s="498"/>
      <c r="F97" s="498"/>
      <c r="G97" s="498"/>
      <c r="H97" s="157"/>
      <c r="P97" s="83"/>
      <c r="Q97" s="83"/>
    </row>
    <row r="98" spans="2:17" ht="13.5" customHeight="1" x14ac:dyDescent="0.25">
      <c r="B98" s="2"/>
      <c r="C98" s="2"/>
      <c r="I98" s="2"/>
      <c r="J98" s="2"/>
      <c r="K98" s="2"/>
      <c r="L98" s="2"/>
      <c r="M98" s="2"/>
      <c r="N98" s="2"/>
      <c r="O98" s="2"/>
      <c r="P98" s="83"/>
      <c r="Q98" s="83"/>
    </row>
    <row r="99" spans="2:17" x14ac:dyDescent="0.25">
      <c r="B99" s="2"/>
      <c r="C99" s="2"/>
      <c r="D99" s="2"/>
      <c r="E99" s="2"/>
      <c r="F99" s="2"/>
      <c r="G99" s="2"/>
      <c r="H99" s="2"/>
      <c r="I99" s="2"/>
      <c r="J99" s="2"/>
      <c r="K99" s="2"/>
      <c r="L99" s="2"/>
      <c r="M99" s="2"/>
      <c r="N99" s="2"/>
      <c r="O99" s="2"/>
      <c r="P99" s="83"/>
      <c r="Q99" s="83"/>
    </row>
    <row r="100" spans="2:17" x14ac:dyDescent="0.25">
      <c r="B100" s="2"/>
      <c r="C100" s="2"/>
      <c r="D100" s="2"/>
      <c r="E100" s="2"/>
      <c r="F100" s="2"/>
      <c r="G100" s="2"/>
      <c r="H100" s="2"/>
      <c r="I100" s="2"/>
      <c r="J100" s="2"/>
      <c r="K100" s="2"/>
      <c r="L100" s="2"/>
      <c r="M100" s="2"/>
      <c r="N100" s="2"/>
      <c r="O100" s="2"/>
      <c r="P100" s="83"/>
      <c r="Q100" s="83"/>
    </row>
    <row r="101" spans="2:17" x14ac:dyDescent="0.25">
      <c r="B101" s="2"/>
      <c r="C101" s="2"/>
      <c r="D101" s="2"/>
      <c r="E101" s="2"/>
      <c r="F101" s="2"/>
      <c r="G101" s="2"/>
      <c r="H101" s="2"/>
      <c r="I101" s="2"/>
      <c r="J101" s="2"/>
      <c r="K101" s="2"/>
      <c r="L101" s="2"/>
      <c r="M101" s="2"/>
      <c r="N101" s="2"/>
      <c r="O101" s="2"/>
      <c r="P101" s="83"/>
      <c r="Q101" s="83"/>
    </row>
    <row r="102" spans="2:17" x14ac:dyDescent="0.25">
      <c r="B102" s="2"/>
      <c r="C102" s="2"/>
      <c r="D102" s="2"/>
      <c r="E102" s="2"/>
      <c r="F102" s="2"/>
      <c r="G102" s="2"/>
      <c r="H102" s="2"/>
      <c r="I102" s="2"/>
      <c r="J102" s="2"/>
      <c r="K102" s="2"/>
      <c r="L102" s="2"/>
      <c r="M102" s="2"/>
      <c r="N102" s="2"/>
      <c r="O102" s="2"/>
      <c r="P102" s="83"/>
      <c r="Q102" s="83"/>
    </row>
    <row r="103" spans="2:17" x14ac:dyDescent="0.25">
      <c r="B103" s="2"/>
      <c r="C103" s="2"/>
      <c r="D103" s="2"/>
      <c r="E103" s="2"/>
      <c r="F103" s="2"/>
      <c r="G103" s="2"/>
      <c r="H103" s="2"/>
      <c r="I103" s="2"/>
      <c r="J103" s="2"/>
      <c r="K103" s="2"/>
      <c r="L103" s="2"/>
      <c r="M103" s="2"/>
      <c r="N103" s="2"/>
      <c r="O103" s="2"/>
      <c r="P103" s="83"/>
      <c r="Q103" s="83"/>
    </row>
    <row r="104" spans="2:17" x14ac:dyDescent="0.25">
      <c r="B104" s="2"/>
      <c r="C104" s="2"/>
      <c r="D104" s="2"/>
      <c r="E104" s="2"/>
      <c r="F104" s="2"/>
      <c r="G104" s="2"/>
      <c r="H104" s="2"/>
      <c r="I104" s="2"/>
      <c r="J104" s="2"/>
      <c r="K104" s="2"/>
      <c r="L104" s="2"/>
      <c r="M104" s="2"/>
      <c r="N104" s="2"/>
      <c r="O104" s="2"/>
      <c r="P104" s="83"/>
      <c r="Q104" s="83"/>
    </row>
    <row r="105" spans="2:17" x14ac:dyDescent="0.25">
      <c r="B105" s="2"/>
      <c r="C105" s="2"/>
      <c r="D105" s="2"/>
      <c r="E105" s="2"/>
      <c r="F105" s="2"/>
      <c r="G105" s="2"/>
      <c r="H105" s="2"/>
      <c r="I105" s="2"/>
      <c r="J105" s="2"/>
      <c r="K105" s="2"/>
      <c r="L105" s="2"/>
      <c r="M105" s="2"/>
      <c r="N105" s="2"/>
      <c r="O105" s="2"/>
      <c r="P105" s="83"/>
      <c r="Q105" s="83"/>
    </row>
    <row r="106" spans="2:17" x14ac:dyDescent="0.25">
      <c r="B106" s="2"/>
      <c r="C106" s="2"/>
      <c r="D106" s="2"/>
      <c r="E106" s="2"/>
      <c r="F106" s="2"/>
      <c r="G106" s="2"/>
      <c r="H106" s="2"/>
      <c r="I106" s="2"/>
      <c r="J106" s="2"/>
      <c r="K106" s="2"/>
      <c r="L106" s="2"/>
      <c r="M106" s="2"/>
      <c r="N106" s="2"/>
      <c r="O106" s="2"/>
      <c r="P106" s="83"/>
      <c r="Q106" s="83"/>
    </row>
    <row r="107" spans="2:17" x14ac:dyDescent="0.25">
      <c r="B107" s="2"/>
      <c r="C107" s="2"/>
      <c r="D107" s="2"/>
      <c r="E107" s="2"/>
      <c r="F107" s="2"/>
      <c r="G107" s="2"/>
      <c r="H107" s="2"/>
      <c r="I107" s="2"/>
      <c r="J107" s="2"/>
      <c r="K107" s="2"/>
      <c r="L107" s="2"/>
      <c r="M107" s="2"/>
      <c r="N107" s="2"/>
      <c r="O107" s="2"/>
      <c r="P107" s="83"/>
      <c r="Q107" s="83"/>
    </row>
    <row r="108" spans="2:17" x14ac:dyDescent="0.25">
      <c r="B108" s="2"/>
      <c r="C108" s="2"/>
      <c r="D108" s="2"/>
      <c r="E108" s="2"/>
      <c r="F108" s="2"/>
      <c r="G108" s="2"/>
      <c r="H108" s="2"/>
      <c r="I108" s="2"/>
      <c r="J108" s="2"/>
      <c r="K108" s="2"/>
      <c r="L108" s="2"/>
      <c r="M108" s="2"/>
      <c r="N108" s="2"/>
      <c r="O108" s="2"/>
      <c r="P108" s="83"/>
      <c r="Q108" s="83"/>
    </row>
    <row r="109" spans="2:17" x14ac:dyDescent="0.25">
      <c r="B109" s="2"/>
      <c r="C109" s="2"/>
      <c r="D109" s="2"/>
      <c r="E109" s="2"/>
      <c r="F109" s="2"/>
      <c r="G109" s="2"/>
      <c r="H109" s="2"/>
      <c r="I109" s="2"/>
      <c r="J109" s="2"/>
      <c r="K109" s="2"/>
      <c r="L109" s="2"/>
      <c r="M109" s="2"/>
      <c r="N109" s="2"/>
      <c r="O109" s="2"/>
      <c r="P109" s="83"/>
      <c r="Q109" s="83"/>
    </row>
    <row r="110" spans="2:17" x14ac:dyDescent="0.25">
      <c r="B110" s="2"/>
      <c r="C110" s="2"/>
      <c r="D110" s="2"/>
      <c r="E110" s="2"/>
      <c r="F110" s="2"/>
      <c r="G110" s="2"/>
      <c r="H110" s="2"/>
      <c r="I110" s="2"/>
      <c r="J110" s="2"/>
      <c r="K110" s="2"/>
      <c r="L110" s="2"/>
      <c r="M110" s="2"/>
      <c r="N110" s="2"/>
      <c r="O110" s="2"/>
      <c r="P110" s="83"/>
      <c r="Q110" s="83"/>
    </row>
    <row r="111" spans="2:17" x14ac:dyDescent="0.25">
      <c r="B111" s="2"/>
      <c r="C111" s="2"/>
      <c r="D111" s="2"/>
      <c r="E111" s="2"/>
      <c r="F111" s="2"/>
      <c r="G111" s="2"/>
      <c r="H111" s="2"/>
      <c r="I111" s="2"/>
      <c r="J111" s="2"/>
      <c r="K111" s="2"/>
      <c r="L111" s="2"/>
      <c r="M111" s="2"/>
      <c r="N111" s="2"/>
      <c r="O111" s="2"/>
      <c r="P111" s="83"/>
      <c r="Q111" s="83"/>
    </row>
    <row r="112" spans="2:17" x14ac:dyDescent="0.25">
      <c r="B112" s="2"/>
      <c r="C112" s="2"/>
      <c r="D112" s="2"/>
      <c r="E112" s="2"/>
      <c r="F112" s="2"/>
      <c r="G112" s="2"/>
      <c r="H112" s="2"/>
      <c r="I112" s="2"/>
      <c r="J112" s="2"/>
      <c r="K112" s="2"/>
      <c r="L112" s="2"/>
      <c r="M112" s="2"/>
      <c r="N112" s="2"/>
      <c r="O112" s="2"/>
      <c r="P112" s="83"/>
      <c r="Q112" s="83"/>
    </row>
    <row r="113" spans="2:17" x14ac:dyDescent="0.25">
      <c r="B113" s="2"/>
      <c r="C113" s="2"/>
      <c r="D113" s="2"/>
      <c r="E113" s="2"/>
      <c r="F113" s="2"/>
      <c r="G113" s="2"/>
      <c r="H113" s="2"/>
      <c r="I113" s="2"/>
      <c r="J113" s="2"/>
      <c r="K113" s="2"/>
      <c r="L113" s="2"/>
      <c r="M113" s="2"/>
      <c r="N113" s="2"/>
      <c r="O113" s="2"/>
      <c r="P113" s="83"/>
      <c r="Q113" s="83"/>
    </row>
    <row r="114" spans="2:17" x14ac:dyDescent="0.25">
      <c r="B114" s="2"/>
      <c r="C114" s="2"/>
      <c r="D114" s="2"/>
      <c r="E114" s="2"/>
      <c r="F114" s="2"/>
      <c r="G114" s="2"/>
      <c r="H114" s="2"/>
      <c r="I114" s="2"/>
      <c r="J114" s="2"/>
      <c r="K114" s="2"/>
      <c r="L114" s="2"/>
      <c r="M114" s="2"/>
      <c r="N114" s="2"/>
      <c r="O114" s="2"/>
      <c r="P114" s="83"/>
      <c r="Q114" s="83"/>
    </row>
    <row r="115" spans="2:17" x14ac:dyDescent="0.25">
      <c r="B115" s="2"/>
      <c r="C115" s="2"/>
      <c r="D115" s="2"/>
      <c r="E115" s="2"/>
      <c r="F115" s="2"/>
      <c r="G115" s="2"/>
      <c r="H115" s="2"/>
      <c r="I115" s="2"/>
      <c r="J115" s="2"/>
      <c r="K115" s="2"/>
      <c r="L115" s="2"/>
      <c r="M115" s="2"/>
      <c r="N115" s="2"/>
      <c r="O115" s="2"/>
      <c r="P115" s="83"/>
      <c r="Q115" s="83"/>
    </row>
    <row r="116" spans="2:17" x14ac:dyDescent="0.25">
      <c r="B116" s="2"/>
      <c r="C116" s="2"/>
      <c r="D116" s="2"/>
      <c r="E116" s="2"/>
      <c r="F116" s="2"/>
      <c r="G116" s="2"/>
      <c r="H116" s="2"/>
      <c r="I116" s="2"/>
      <c r="J116" s="2"/>
      <c r="K116" s="2"/>
      <c r="L116" s="2"/>
      <c r="M116" s="2"/>
      <c r="N116" s="2"/>
      <c r="O116" s="2"/>
      <c r="P116" s="83"/>
      <c r="Q116" s="83"/>
    </row>
    <row r="117" spans="2:17" x14ac:dyDescent="0.25">
      <c r="B117" s="2"/>
      <c r="C117" s="2"/>
      <c r="D117" s="2"/>
      <c r="E117" s="2"/>
      <c r="F117" s="2"/>
      <c r="G117" s="2"/>
      <c r="H117" s="2"/>
      <c r="I117" s="2"/>
      <c r="J117" s="2"/>
      <c r="K117" s="2"/>
      <c r="L117" s="2"/>
      <c r="M117" s="2"/>
      <c r="N117" s="2"/>
      <c r="O117" s="2"/>
      <c r="P117" s="83"/>
      <c r="Q117" s="83"/>
    </row>
    <row r="118" spans="2:17" x14ac:dyDescent="0.25">
      <c r="B118" s="2"/>
      <c r="C118" s="2"/>
      <c r="D118" s="2"/>
      <c r="E118" s="2"/>
      <c r="F118" s="2"/>
      <c r="G118" s="2"/>
      <c r="H118" s="2"/>
      <c r="I118" s="2"/>
      <c r="J118" s="2"/>
      <c r="K118" s="2"/>
      <c r="L118" s="2"/>
      <c r="M118" s="2"/>
      <c r="N118" s="2"/>
      <c r="O118" s="2"/>
      <c r="P118" s="83"/>
      <c r="Q118" s="83"/>
    </row>
    <row r="119" spans="2:17" x14ac:dyDescent="0.25">
      <c r="B119" s="2"/>
      <c r="C119" s="2"/>
      <c r="D119" s="2"/>
      <c r="E119" s="2"/>
      <c r="F119" s="2"/>
      <c r="G119" s="2"/>
      <c r="H119" s="2"/>
      <c r="I119" s="2"/>
      <c r="J119" s="2"/>
      <c r="K119" s="2"/>
      <c r="L119" s="2"/>
      <c r="M119" s="2"/>
      <c r="N119" s="2"/>
      <c r="O119" s="2"/>
      <c r="P119" s="83"/>
      <c r="Q119" s="83"/>
    </row>
    <row r="120" spans="2:17" x14ac:dyDescent="0.25">
      <c r="B120" s="2"/>
      <c r="C120" s="2"/>
      <c r="D120" s="2"/>
      <c r="E120" s="2"/>
      <c r="F120" s="2"/>
      <c r="G120" s="2"/>
      <c r="H120" s="2"/>
      <c r="I120" s="2"/>
      <c r="J120" s="2"/>
      <c r="K120" s="2"/>
      <c r="L120" s="2"/>
      <c r="M120" s="2"/>
      <c r="N120" s="2"/>
      <c r="O120" s="2"/>
      <c r="P120" s="83"/>
      <c r="Q120" s="83"/>
    </row>
    <row r="121" spans="2:17" x14ac:dyDescent="0.25">
      <c r="B121" s="2"/>
      <c r="C121" s="2"/>
      <c r="D121" s="2"/>
      <c r="E121" s="2"/>
      <c r="F121" s="2"/>
      <c r="G121" s="2"/>
      <c r="H121" s="2"/>
      <c r="I121" s="2"/>
      <c r="J121" s="2"/>
      <c r="K121" s="2"/>
      <c r="L121" s="2"/>
      <c r="M121" s="2"/>
      <c r="N121" s="2"/>
      <c r="O121" s="2"/>
      <c r="P121" s="83"/>
      <c r="Q121" s="83"/>
    </row>
    <row r="122" spans="2:17" x14ac:dyDescent="0.25">
      <c r="B122" s="2"/>
      <c r="C122" s="2"/>
      <c r="D122" s="2"/>
      <c r="E122" s="2"/>
      <c r="F122" s="2"/>
      <c r="G122" s="2"/>
      <c r="H122" s="2"/>
      <c r="I122" s="2"/>
      <c r="J122" s="2"/>
      <c r="K122" s="2"/>
      <c r="L122" s="2"/>
      <c r="M122" s="2"/>
      <c r="N122" s="2"/>
      <c r="O122" s="2"/>
      <c r="P122" s="83"/>
      <c r="Q122" s="83"/>
    </row>
    <row r="123" spans="2:17" x14ac:dyDescent="0.25">
      <c r="B123" s="2"/>
      <c r="C123" s="2"/>
      <c r="D123" s="2"/>
      <c r="E123" s="2"/>
      <c r="F123" s="2"/>
      <c r="G123" s="2"/>
      <c r="H123" s="2"/>
      <c r="I123" s="2"/>
      <c r="J123" s="2"/>
      <c r="K123" s="2"/>
      <c r="L123" s="2"/>
      <c r="M123" s="2"/>
      <c r="N123" s="2"/>
      <c r="O123" s="2"/>
      <c r="P123" s="83"/>
      <c r="Q123" s="83"/>
    </row>
    <row r="124" spans="2:17" x14ac:dyDescent="0.25">
      <c r="B124" s="2"/>
      <c r="C124" s="2"/>
      <c r="D124" s="2"/>
      <c r="E124" s="2"/>
      <c r="F124" s="2"/>
      <c r="G124" s="2"/>
      <c r="H124" s="2"/>
      <c r="I124" s="2"/>
      <c r="J124" s="2"/>
      <c r="K124" s="2"/>
      <c r="L124" s="2"/>
      <c r="M124" s="2"/>
      <c r="N124" s="2"/>
      <c r="O124" s="2"/>
      <c r="P124" s="83"/>
      <c r="Q124" s="83"/>
    </row>
    <row r="125" spans="2:17" x14ac:dyDescent="0.25">
      <c r="B125" s="2"/>
      <c r="C125" s="2"/>
      <c r="D125" s="2"/>
      <c r="E125" s="2"/>
      <c r="F125" s="2"/>
      <c r="G125" s="2"/>
      <c r="H125" s="2"/>
      <c r="I125" s="2"/>
      <c r="J125" s="2"/>
      <c r="K125" s="2"/>
      <c r="L125" s="2"/>
      <c r="M125" s="2"/>
      <c r="N125" s="2"/>
      <c r="O125" s="2"/>
      <c r="P125" s="83"/>
      <c r="Q125" s="83"/>
    </row>
    <row r="126" spans="2:17" x14ac:dyDescent="0.25">
      <c r="B126" s="2"/>
      <c r="C126" s="2"/>
      <c r="D126" s="2"/>
      <c r="E126" s="2"/>
      <c r="F126" s="2"/>
      <c r="G126" s="2"/>
      <c r="H126" s="2"/>
      <c r="I126" s="2"/>
      <c r="J126" s="2"/>
      <c r="K126" s="2"/>
      <c r="L126" s="2"/>
      <c r="M126" s="2"/>
      <c r="N126" s="2"/>
      <c r="O126" s="2"/>
      <c r="P126" s="83"/>
      <c r="Q126" s="83"/>
    </row>
    <row r="127" spans="2:17" x14ac:dyDescent="0.25">
      <c r="B127" s="2"/>
      <c r="C127" s="2"/>
      <c r="D127" s="2"/>
      <c r="E127" s="2"/>
      <c r="F127" s="2"/>
      <c r="G127" s="2"/>
      <c r="H127" s="2"/>
      <c r="I127" s="2"/>
      <c r="J127" s="2"/>
      <c r="K127" s="2"/>
      <c r="L127" s="2"/>
      <c r="M127" s="2"/>
      <c r="N127" s="2"/>
      <c r="O127" s="2"/>
      <c r="P127" s="83"/>
      <c r="Q127" s="83"/>
    </row>
    <row r="128" spans="2:17" x14ac:dyDescent="0.25">
      <c r="B128" s="2"/>
      <c r="C128" s="2"/>
      <c r="D128" s="2"/>
      <c r="E128" s="2"/>
      <c r="F128" s="2"/>
      <c r="G128" s="2"/>
      <c r="H128" s="2"/>
      <c r="I128" s="2"/>
      <c r="J128" s="2"/>
      <c r="K128" s="2"/>
      <c r="L128" s="2"/>
      <c r="M128" s="2"/>
      <c r="N128" s="2"/>
      <c r="O128" s="2"/>
      <c r="P128" s="83"/>
      <c r="Q128" s="83"/>
    </row>
    <row r="129" spans="2:17" x14ac:dyDescent="0.25">
      <c r="B129" s="2"/>
      <c r="C129" s="2"/>
      <c r="D129" s="2"/>
      <c r="E129" s="2"/>
      <c r="F129" s="2"/>
      <c r="G129" s="2"/>
      <c r="H129" s="2"/>
      <c r="I129" s="2"/>
      <c r="J129" s="2"/>
      <c r="K129" s="2"/>
      <c r="L129" s="2"/>
      <c r="M129" s="2"/>
      <c r="N129" s="2"/>
      <c r="O129" s="2"/>
      <c r="P129" s="83"/>
      <c r="Q129" s="83"/>
    </row>
    <row r="130" spans="2:17" x14ac:dyDescent="0.25">
      <c r="B130" s="2"/>
      <c r="C130" s="2"/>
      <c r="D130" s="2"/>
      <c r="E130" s="2"/>
      <c r="F130" s="2"/>
      <c r="G130" s="2"/>
      <c r="H130" s="2"/>
      <c r="I130" s="2"/>
      <c r="J130" s="2"/>
      <c r="K130" s="2"/>
      <c r="L130" s="2"/>
      <c r="M130" s="2"/>
      <c r="N130" s="2"/>
      <c r="O130" s="2"/>
      <c r="P130" s="83"/>
      <c r="Q130" s="83"/>
    </row>
    <row r="131" spans="2:17" x14ac:dyDescent="0.25">
      <c r="B131" s="2"/>
      <c r="C131" s="2"/>
      <c r="D131" s="2"/>
      <c r="E131" s="2"/>
      <c r="F131" s="2"/>
      <c r="G131" s="2"/>
      <c r="H131" s="2"/>
      <c r="I131" s="2"/>
      <c r="J131" s="2"/>
      <c r="K131" s="2"/>
      <c r="L131" s="2"/>
      <c r="M131" s="2"/>
      <c r="N131" s="2"/>
      <c r="O131" s="2"/>
      <c r="P131" s="83"/>
      <c r="Q131" s="83"/>
    </row>
    <row r="132" spans="2:17" x14ac:dyDescent="0.25">
      <c r="B132" s="2"/>
      <c r="C132" s="2"/>
      <c r="D132" s="2"/>
      <c r="E132" s="2"/>
      <c r="F132" s="2"/>
      <c r="G132" s="2"/>
      <c r="H132" s="2"/>
      <c r="I132" s="2"/>
      <c r="J132" s="2"/>
      <c r="K132" s="2"/>
      <c r="L132" s="2"/>
      <c r="M132" s="2"/>
      <c r="N132" s="2"/>
      <c r="O132" s="2"/>
      <c r="P132" s="83"/>
      <c r="Q132" s="83"/>
    </row>
    <row r="133" spans="2:17" x14ac:dyDescent="0.25">
      <c r="B133" s="2"/>
      <c r="C133" s="2"/>
      <c r="D133" s="2"/>
      <c r="E133" s="2"/>
      <c r="F133" s="2"/>
      <c r="G133" s="2"/>
      <c r="H133" s="2"/>
      <c r="I133" s="2"/>
      <c r="J133" s="2"/>
      <c r="K133" s="2"/>
      <c r="L133" s="2"/>
      <c r="M133" s="2"/>
      <c r="N133" s="2"/>
      <c r="O133" s="2"/>
      <c r="P133" s="83"/>
      <c r="Q133" s="83"/>
    </row>
    <row r="134" spans="2:17" x14ac:dyDescent="0.25">
      <c r="B134" s="2"/>
      <c r="C134" s="2"/>
      <c r="D134" s="2"/>
      <c r="E134" s="2"/>
      <c r="F134" s="2"/>
      <c r="G134" s="2"/>
      <c r="H134" s="2"/>
      <c r="I134" s="2"/>
      <c r="J134" s="2"/>
      <c r="K134" s="2"/>
      <c r="L134" s="2"/>
      <c r="M134" s="2"/>
      <c r="N134" s="2"/>
      <c r="O134" s="2"/>
      <c r="P134" s="83"/>
      <c r="Q134" s="83"/>
    </row>
    <row r="135" spans="2:17" x14ac:dyDescent="0.25">
      <c r="B135" s="2"/>
      <c r="C135" s="2"/>
      <c r="D135" s="2"/>
      <c r="E135" s="2"/>
      <c r="F135" s="2"/>
      <c r="G135" s="2"/>
      <c r="H135" s="2"/>
      <c r="I135" s="2"/>
      <c r="J135" s="2"/>
      <c r="K135" s="2"/>
      <c r="L135" s="2"/>
      <c r="M135" s="2"/>
      <c r="N135" s="2"/>
      <c r="O135" s="2"/>
      <c r="P135" s="83"/>
      <c r="Q135" s="83"/>
    </row>
    <row r="136" spans="2:17" x14ac:dyDescent="0.25">
      <c r="B136" s="2"/>
      <c r="C136" s="2"/>
      <c r="D136" s="2"/>
      <c r="E136" s="2"/>
      <c r="F136" s="2"/>
      <c r="G136" s="2"/>
      <c r="H136" s="2"/>
      <c r="I136" s="2"/>
      <c r="J136" s="2"/>
      <c r="K136" s="2"/>
      <c r="L136" s="2"/>
      <c r="M136" s="2"/>
      <c r="N136" s="2"/>
      <c r="O136" s="2"/>
      <c r="P136" s="83"/>
      <c r="Q136" s="83"/>
    </row>
    <row r="137" spans="2:17" x14ac:dyDescent="0.25">
      <c r="B137" s="2"/>
      <c r="C137" s="2"/>
      <c r="D137" s="2"/>
      <c r="E137" s="2"/>
      <c r="F137" s="2"/>
      <c r="G137" s="2"/>
      <c r="H137" s="2"/>
      <c r="I137" s="2"/>
      <c r="J137" s="2"/>
      <c r="K137" s="2"/>
      <c r="L137" s="2"/>
      <c r="M137" s="2"/>
      <c r="N137" s="2"/>
      <c r="O137" s="2"/>
      <c r="P137" s="83"/>
      <c r="Q137" s="83"/>
    </row>
    <row r="138" spans="2:17" x14ac:dyDescent="0.25">
      <c r="B138" s="2"/>
      <c r="C138" s="2"/>
      <c r="D138" s="2"/>
      <c r="E138" s="2"/>
      <c r="F138" s="2"/>
      <c r="G138" s="2"/>
      <c r="H138" s="2"/>
      <c r="I138" s="2"/>
      <c r="J138" s="2"/>
      <c r="K138" s="2"/>
      <c r="L138" s="2"/>
      <c r="M138" s="2"/>
      <c r="N138" s="2"/>
      <c r="O138" s="2"/>
      <c r="P138" s="83"/>
      <c r="Q138" s="83"/>
    </row>
    <row r="139" spans="2:17" x14ac:dyDescent="0.25">
      <c r="B139" s="2"/>
      <c r="C139" s="2"/>
      <c r="D139" s="2"/>
      <c r="E139" s="2"/>
      <c r="F139" s="2"/>
      <c r="G139" s="2"/>
      <c r="H139" s="2"/>
      <c r="I139" s="2"/>
      <c r="J139" s="2"/>
      <c r="K139" s="2"/>
      <c r="L139" s="2"/>
      <c r="M139" s="2"/>
      <c r="N139" s="2"/>
      <c r="O139" s="2"/>
      <c r="P139" s="83"/>
      <c r="Q139" s="83"/>
    </row>
    <row r="140" spans="2:17" x14ac:dyDescent="0.25">
      <c r="B140" s="2"/>
      <c r="C140" s="2"/>
      <c r="D140" s="2"/>
      <c r="E140" s="2"/>
      <c r="F140" s="2"/>
      <c r="G140" s="2"/>
      <c r="H140" s="2"/>
      <c r="I140" s="2"/>
      <c r="J140" s="2"/>
      <c r="K140" s="2"/>
      <c r="L140" s="2"/>
      <c r="M140" s="2"/>
      <c r="N140" s="2"/>
      <c r="O140" s="2"/>
      <c r="P140" s="83"/>
      <c r="Q140" s="83"/>
    </row>
    <row r="141" spans="2:17" x14ac:dyDescent="0.25">
      <c r="B141" s="2"/>
      <c r="C141" s="2"/>
      <c r="D141" s="2"/>
      <c r="E141" s="2"/>
      <c r="F141" s="2"/>
      <c r="G141" s="2"/>
      <c r="H141" s="2"/>
      <c r="I141" s="2"/>
      <c r="J141" s="2"/>
      <c r="K141" s="2"/>
      <c r="L141" s="2"/>
      <c r="M141" s="2"/>
      <c r="N141" s="2"/>
      <c r="O141" s="2"/>
      <c r="P141" s="83"/>
      <c r="Q141" s="83"/>
    </row>
    <row r="142" spans="2:17" x14ac:dyDescent="0.25">
      <c r="B142" s="2"/>
      <c r="C142" s="2"/>
      <c r="D142" s="2"/>
      <c r="E142" s="2"/>
      <c r="F142" s="2"/>
      <c r="G142" s="2"/>
      <c r="H142" s="2"/>
      <c r="I142" s="2"/>
      <c r="J142" s="2"/>
      <c r="K142" s="2"/>
      <c r="L142" s="2"/>
      <c r="M142" s="2"/>
      <c r="N142" s="2"/>
      <c r="O142" s="2"/>
      <c r="P142" s="83"/>
      <c r="Q142" s="83"/>
    </row>
    <row r="143" spans="2:17" x14ac:dyDescent="0.25">
      <c r="B143" s="2"/>
      <c r="C143" s="2"/>
      <c r="D143" s="2"/>
      <c r="E143" s="2"/>
      <c r="F143" s="2"/>
      <c r="G143" s="2"/>
      <c r="H143" s="2"/>
      <c r="I143" s="2"/>
      <c r="J143" s="2"/>
      <c r="K143" s="2"/>
      <c r="L143" s="2"/>
      <c r="M143" s="2"/>
      <c r="N143" s="2"/>
      <c r="O143" s="2"/>
      <c r="P143" s="83"/>
      <c r="Q143" s="83"/>
    </row>
    <row r="144" spans="2:17" x14ac:dyDescent="0.25">
      <c r="B144" s="2"/>
      <c r="C144" s="2"/>
      <c r="D144" s="2"/>
      <c r="E144" s="2"/>
      <c r="F144" s="2"/>
      <c r="G144" s="2"/>
      <c r="H144" s="2"/>
      <c r="I144" s="2"/>
      <c r="J144" s="2"/>
      <c r="K144" s="2"/>
      <c r="L144" s="2"/>
      <c r="M144" s="2"/>
      <c r="N144" s="2"/>
      <c r="O144" s="2"/>
      <c r="P144" s="83"/>
      <c r="Q144" s="83"/>
    </row>
    <row r="145" spans="2:17" x14ac:dyDescent="0.25">
      <c r="B145" s="2"/>
      <c r="C145" s="2"/>
      <c r="D145" s="2"/>
      <c r="E145" s="2"/>
      <c r="F145" s="2"/>
      <c r="G145" s="2"/>
      <c r="H145" s="2"/>
      <c r="I145" s="2"/>
      <c r="J145" s="2"/>
      <c r="K145" s="2"/>
      <c r="L145" s="2"/>
      <c r="M145" s="2"/>
      <c r="N145" s="2"/>
      <c r="O145" s="2"/>
      <c r="P145" s="83"/>
      <c r="Q145" s="83"/>
    </row>
    <row r="146" spans="2:17" x14ac:dyDescent="0.25">
      <c r="B146" s="2"/>
      <c r="C146" s="2"/>
      <c r="D146" s="2"/>
      <c r="E146" s="2"/>
      <c r="F146" s="2"/>
      <c r="G146" s="2"/>
      <c r="H146" s="2"/>
      <c r="I146" s="2"/>
      <c r="J146" s="2"/>
      <c r="K146" s="2"/>
      <c r="L146" s="2"/>
      <c r="M146" s="2"/>
      <c r="N146" s="2"/>
      <c r="O146" s="2"/>
      <c r="P146" s="83"/>
      <c r="Q146" s="83"/>
    </row>
    <row r="147" spans="2:17" x14ac:dyDescent="0.25">
      <c r="B147" s="2"/>
      <c r="C147" s="2"/>
      <c r="D147" s="2"/>
      <c r="E147" s="2"/>
      <c r="F147" s="2"/>
      <c r="G147" s="2"/>
      <c r="H147" s="2"/>
      <c r="I147" s="2"/>
      <c r="J147" s="2"/>
      <c r="K147" s="2"/>
      <c r="L147" s="2"/>
      <c r="M147" s="2"/>
      <c r="N147" s="2"/>
      <c r="O147" s="2"/>
      <c r="P147" s="83"/>
      <c r="Q147" s="83"/>
    </row>
    <row r="148" spans="2:17" x14ac:dyDescent="0.25">
      <c r="B148" s="2"/>
      <c r="C148" s="2"/>
      <c r="D148" s="2"/>
      <c r="E148" s="2"/>
      <c r="F148" s="2"/>
      <c r="G148" s="2"/>
      <c r="H148" s="2"/>
      <c r="I148" s="2"/>
      <c r="J148" s="2"/>
      <c r="K148" s="2"/>
      <c r="L148" s="2"/>
      <c r="M148" s="2"/>
      <c r="N148" s="2"/>
      <c r="O148" s="2"/>
      <c r="P148" s="83"/>
      <c r="Q148" s="83"/>
    </row>
    <row r="149" spans="2:17" x14ac:dyDescent="0.25">
      <c r="B149" s="2"/>
      <c r="C149" s="2"/>
      <c r="D149" s="2"/>
      <c r="E149" s="2"/>
      <c r="F149" s="2"/>
      <c r="G149" s="2"/>
      <c r="H149" s="2"/>
      <c r="I149" s="2"/>
      <c r="J149" s="2"/>
      <c r="K149" s="2"/>
      <c r="L149" s="2"/>
      <c r="M149" s="2"/>
      <c r="N149" s="2"/>
      <c r="O149" s="2"/>
      <c r="P149" s="83"/>
      <c r="Q149" s="83"/>
    </row>
    <row r="150" spans="2:17" x14ac:dyDescent="0.25">
      <c r="B150" s="2"/>
      <c r="C150" s="2"/>
      <c r="D150" s="2"/>
      <c r="E150" s="2"/>
      <c r="F150" s="2"/>
      <c r="G150" s="2"/>
      <c r="H150" s="2"/>
      <c r="I150" s="2"/>
      <c r="J150" s="2"/>
      <c r="K150" s="2"/>
      <c r="L150" s="2"/>
      <c r="M150" s="2"/>
      <c r="N150" s="2"/>
      <c r="O150" s="2"/>
      <c r="P150" s="83"/>
      <c r="Q150" s="83"/>
    </row>
    <row r="151" spans="2:17" x14ac:dyDescent="0.25">
      <c r="B151" s="2"/>
      <c r="C151" s="2"/>
      <c r="D151" s="2"/>
      <c r="E151" s="2"/>
      <c r="F151" s="2"/>
      <c r="G151" s="2"/>
      <c r="H151" s="2"/>
      <c r="I151" s="2"/>
      <c r="J151" s="2"/>
      <c r="K151" s="2"/>
      <c r="L151" s="2"/>
      <c r="M151" s="2"/>
      <c r="N151" s="2"/>
      <c r="O151" s="2"/>
      <c r="P151" s="83"/>
      <c r="Q151" s="83"/>
    </row>
    <row r="152" spans="2:17" x14ac:dyDescent="0.25">
      <c r="B152" s="2"/>
      <c r="C152" s="2"/>
      <c r="D152" s="2"/>
      <c r="E152" s="2"/>
      <c r="F152" s="2"/>
      <c r="G152" s="2"/>
      <c r="H152" s="2"/>
      <c r="I152" s="2"/>
      <c r="J152" s="2"/>
      <c r="K152" s="2"/>
      <c r="L152" s="2"/>
      <c r="M152" s="2"/>
      <c r="N152" s="2"/>
      <c r="O152" s="2"/>
      <c r="P152" s="83"/>
      <c r="Q152" s="83"/>
    </row>
    <row r="153" spans="2:17" x14ac:dyDescent="0.25">
      <c r="B153" s="2"/>
      <c r="C153" s="2"/>
      <c r="D153" s="2"/>
      <c r="E153" s="2"/>
      <c r="F153" s="2"/>
      <c r="G153" s="2"/>
      <c r="H153" s="2"/>
      <c r="I153" s="2"/>
      <c r="J153" s="2"/>
      <c r="K153" s="2"/>
      <c r="L153" s="2"/>
      <c r="M153" s="2"/>
      <c r="N153" s="2"/>
      <c r="O153" s="2"/>
      <c r="P153" s="83"/>
      <c r="Q153" s="83"/>
    </row>
    <row r="154" spans="2:17" x14ac:dyDescent="0.25">
      <c r="B154" s="2"/>
      <c r="C154" s="2"/>
      <c r="D154" s="2"/>
      <c r="E154" s="2"/>
      <c r="F154" s="2"/>
      <c r="G154" s="2"/>
      <c r="H154" s="2"/>
      <c r="I154" s="2"/>
      <c r="J154" s="2"/>
      <c r="K154" s="2"/>
      <c r="L154" s="2"/>
      <c r="M154" s="2"/>
      <c r="N154" s="2"/>
      <c r="O154" s="2"/>
      <c r="P154" s="83"/>
      <c r="Q154" s="83"/>
    </row>
    <row r="155" spans="2:17" x14ac:dyDescent="0.25">
      <c r="B155" s="2"/>
      <c r="C155" s="2"/>
      <c r="D155" s="2"/>
      <c r="E155" s="2"/>
      <c r="F155" s="2"/>
      <c r="G155" s="2"/>
      <c r="H155" s="2"/>
      <c r="I155" s="2"/>
      <c r="J155" s="2"/>
      <c r="K155" s="2"/>
      <c r="L155" s="2"/>
      <c r="M155" s="2"/>
      <c r="N155" s="2"/>
      <c r="O155" s="2"/>
      <c r="P155" s="83"/>
      <c r="Q155" s="83"/>
    </row>
    <row r="156" spans="2:17" x14ac:dyDescent="0.25">
      <c r="B156" s="2"/>
      <c r="C156" s="2"/>
      <c r="D156" s="2"/>
      <c r="E156" s="2"/>
      <c r="F156" s="2"/>
      <c r="G156" s="2"/>
      <c r="H156" s="2"/>
      <c r="I156" s="2"/>
      <c r="J156" s="2"/>
      <c r="K156" s="2"/>
      <c r="L156" s="2"/>
      <c r="M156" s="2"/>
      <c r="N156" s="2"/>
      <c r="O156" s="2"/>
      <c r="P156" s="83"/>
      <c r="Q156" s="83"/>
    </row>
    <row r="157" spans="2:17" x14ac:dyDescent="0.25">
      <c r="B157" s="2"/>
      <c r="C157" s="2"/>
      <c r="D157" s="2"/>
      <c r="E157" s="2"/>
      <c r="F157" s="2"/>
      <c r="G157" s="2"/>
      <c r="H157" s="2"/>
      <c r="I157" s="2"/>
      <c r="J157" s="2"/>
      <c r="K157" s="2"/>
      <c r="L157" s="2"/>
      <c r="M157" s="2"/>
      <c r="N157" s="2"/>
      <c r="O157" s="2"/>
      <c r="P157" s="83"/>
      <c r="Q157" s="83"/>
    </row>
    <row r="158" spans="2:17" x14ac:dyDescent="0.25">
      <c r="B158" s="2"/>
      <c r="C158" s="2"/>
      <c r="D158" s="2"/>
      <c r="E158" s="2"/>
      <c r="F158" s="2"/>
      <c r="G158" s="2"/>
      <c r="H158" s="2"/>
      <c r="I158" s="2"/>
      <c r="J158" s="2"/>
      <c r="K158" s="2"/>
      <c r="L158" s="2"/>
      <c r="M158" s="2"/>
      <c r="N158" s="2"/>
      <c r="O158" s="2"/>
      <c r="P158" s="83"/>
      <c r="Q158" s="83"/>
    </row>
    <row r="159" spans="2:17" x14ac:dyDescent="0.25">
      <c r="B159" s="2"/>
      <c r="C159" s="2"/>
      <c r="D159" s="2"/>
      <c r="E159" s="2"/>
      <c r="F159" s="2"/>
      <c r="G159" s="2"/>
      <c r="H159" s="2"/>
      <c r="I159" s="2"/>
      <c r="J159" s="2"/>
      <c r="K159" s="2"/>
      <c r="L159" s="2"/>
      <c r="M159" s="2"/>
      <c r="N159" s="2"/>
      <c r="O159" s="2"/>
      <c r="P159" s="83"/>
      <c r="Q159" s="83"/>
    </row>
    <row r="160" spans="2:17" x14ac:dyDescent="0.25">
      <c r="B160" s="2"/>
      <c r="C160" s="2"/>
      <c r="D160" s="2"/>
      <c r="E160" s="2"/>
      <c r="F160" s="2"/>
      <c r="G160" s="2"/>
      <c r="H160" s="2"/>
      <c r="I160" s="2"/>
      <c r="J160" s="2"/>
      <c r="K160" s="2"/>
      <c r="L160" s="2"/>
      <c r="M160" s="2"/>
      <c r="N160" s="2"/>
      <c r="O160" s="2"/>
      <c r="P160" s="83"/>
      <c r="Q160" s="83"/>
    </row>
    <row r="161" spans="2:17" x14ac:dyDescent="0.25">
      <c r="B161" s="2"/>
      <c r="C161" s="2"/>
      <c r="D161" s="2"/>
      <c r="E161" s="2"/>
      <c r="F161" s="2"/>
      <c r="G161" s="2"/>
      <c r="H161" s="2"/>
      <c r="I161" s="2"/>
      <c r="J161" s="2"/>
      <c r="K161" s="2"/>
      <c r="L161" s="2"/>
      <c r="M161" s="2"/>
      <c r="N161" s="2"/>
      <c r="O161" s="2"/>
      <c r="P161" s="83"/>
      <c r="Q161" s="83"/>
    </row>
    <row r="162" spans="2:17" x14ac:dyDescent="0.25">
      <c r="B162" s="2"/>
      <c r="C162" s="2"/>
      <c r="D162" s="2"/>
      <c r="E162" s="2"/>
      <c r="F162" s="2"/>
      <c r="G162" s="2"/>
      <c r="H162" s="2"/>
      <c r="I162" s="2"/>
      <c r="J162" s="2"/>
      <c r="K162" s="2"/>
      <c r="L162" s="2"/>
      <c r="M162" s="2"/>
      <c r="N162" s="2"/>
      <c r="O162" s="2"/>
      <c r="P162" s="83"/>
      <c r="Q162" s="83"/>
    </row>
    <row r="163" spans="2:17" x14ac:dyDescent="0.25">
      <c r="B163" s="2"/>
      <c r="I163" s="2"/>
      <c r="J163" s="2"/>
      <c r="K163" s="2"/>
      <c r="L163" s="2"/>
      <c r="M163" s="2"/>
      <c r="N163" s="2"/>
      <c r="O163" s="2"/>
      <c r="P163" s="83"/>
      <c r="Q163" s="83"/>
    </row>
    <row r="164" spans="2:17" x14ac:dyDescent="0.25">
      <c r="B164" s="2"/>
      <c r="I164" s="2"/>
      <c r="J164" s="2"/>
      <c r="K164" s="2"/>
      <c r="L164" s="2"/>
      <c r="M164" s="2"/>
      <c r="N164" s="2"/>
      <c r="O164" s="2"/>
      <c r="P164" s="83"/>
      <c r="Q164" s="83"/>
    </row>
    <row r="165" spans="2:17" x14ac:dyDescent="0.25">
      <c r="B165" s="2"/>
      <c r="I165" s="2"/>
      <c r="J165" s="2"/>
      <c r="K165" s="2"/>
      <c r="L165" s="2"/>
      <c r="M165" s="2"/>
      <c r="N165" s="2"/>
      <c r="O165" s="2"/>
      <c r="P165" s="83"/>
      <c r="Q165" s="83"/>
    </row>
    <row r="166" spans="2:17" x14ac:dyDescent="0.25">
      <c r="B166" s="2"/>
      <c r="I166" s="2"/>
      <c r="J166" s="2"/>
      <c r="K166" s="2"/>
      <c r="L166" s="2"/>
      <c r="M166" s="2"/>
      <c r="N166" s="2"/>
      <c r="O166" s="2"/>
      <c r="P166" s="83"/>
      <c r="Q166" s="83"/>
    </row>
    <row r="167" spans="2:17" x14ac:dyDescent="0.25">
      <c r="B167" s="2"/>
      <c r="I167" s="2"/>
      <c r="J167" s="2"/>
      <c r="K167" s="2"/>
      <c r="L167" s="2"/>
      <c r="M167" s="2"/>
      <c r="N167" s="2"/>
      <c r="O167" s="2"/>
      <c r="P167" s="83"/>
      <c r="Q167" s="83"/>
    </row>
    <row r="168" spans="2:17" x14ac:dyDescent="0.25">
      <c r="B168" s="2"/>
      <c r="I168" s="2"/>
      <c r="J168" s="2"/>
      <c r="K168" s="2"/>
      <c r="L168" s="2"/>
      <c r="M168" s="2"/>
      <c r="N168" s="2"/>
      <c r="O168" s="2"/>
      <c r="P168" s="83"/>
      <c r="Q168" s="83"/>
    </row>
    <row r="169" spans="2:17" x14ac:dyDescent="0.25">
      <c r="B169" s="2"/>
      <c r="I169" s="2"/>
      <c r="J169" s="2"/>
      <c r="K169" s="2"/>
      <c r="L169" s="2"/>
      <c r="M169" s="2"/>
      <c r="N169" s="2"/>
      <c r="O169" s="2"/>
      <c r="P169" s="83"/>
      <c r="Q169" s="83"/>
    </row>
    <row r="170" spans="2:17" x14ac:dyDescent="0.25">
      <c r="B170" s="2"/>
      <c r="I170" s="2"/>
      <c r="J170" s="2"/>
      <c r="K170" s="2"/>
      <c r="L170" s="2"/>
      <c r="M170" s="2"/>
      <c r="N170" s="2"/>
      <c r="O170" s="2"/>
      <c r="P170" s="83"/>
      <c r="Q170" s="83"/>
    </row>
    <row r="171" spans="2:17" x14ac:dyDescent="0.25">
      <c r="B171" s="2"/>
      <c r="I171" s="2"/>
      <c r="J171" s="2"/>
      <c r="K171" s="2"/>
      <c r="L171" s="2"/>
      <c r="M171" s="2"/>
      <c r="N171" s="2"/>
      <c r="O171" s="2"/>
      <c r="P171" s="83"/>
      <c r="Q171" s="83"/>
    </row>
    <row r="172" spans="2:17" x14ac:dyDescent="0.25">
      <c r="B172" s="2"/>
      <c r="I172" s="2"/>
      <c r="J172" s="2"/>
      <c r="K172" s="2"/>
      <c r="L172" s="2"/>
      <c r="M172" s="2"/>
      <c r="N172" s="2"/>
      <c r="O172" s="2"/>
      <c r="P172" s="83"/>
      <c r="Q172" s="83"/>
    </row>
    <row r="173" spans="2:17" x14ac:dyDescent="0.25">
      <c r="I173" s="2"/>
      <c r="J173" s="2"/>
      <c r="K173" s="2"/>
      <c r="L173" s="2"/>
      <c r="M173" s="2"/>
      <c r="N173" s="2"/>
      <c r="O173" s="2"/>
      <c r="P173" s="83"/>
      <c r="Q173" s="83"/>
    </row>
    <row r="174" spans="2:17" x14ac:dyDescent="0.25">
      <c r="J174" s="2"/>
      <c r="K174" s="2"/>
      <c r="L174" s="2"/>
      <c r="M174" s="2"/>
      <c r="N174" s="2"/>
      <c r="O174" s="2"/>
      <c r="P174" s="83"/>
      <c r="Q174" s="83"/>
    </row>
    <row r="175" spans="2:17" x14ac:dyDescent="0.25">
      <c r="J175" s="2"/>
      <c r="K175" s="2"/>
    </row>
    <row r="176" spans="2:17" x14ac:dyDescent="0.25">
      <c r="J176" s="2"/>
      <c r="K176" s="2"/>
    </row>
  </sheetData>
  <mergeCells count="159">
    <mergeCell ref="K53:O53"/>
    <mergeCell ref="K29:O29"/>
    <mergeCell ref="K44:O44"/>
    <mergeCell ref="K45:O45"/>
    <mergeCell ref="K46:O46"/>
    <mergeCell ref="K47:O47"/>
    <mergeCell ref="K48:O48"/>
    <mergeCell ref="K49:O49"/>
    <mergeCell ref="K50:O50"/>
    <mergeCell ref="K51:O51"/>
    <mergeCell ref="K52:O52"/>
    <mergeCell ref="K35:O35"/>
    <mergeCell ref="K36:O36"/>
    <mergeCell ref="K37:O37"/>
    <mergeCell ref="K38:O38"/>
    <mergeCell ref="K39:O39"/>
    <mergeCell ref="K40:O40"/>
    <mergeCell ref="K41:O41"/>
    <mergeCell ref="K42:O42"/>
    <mergeCell ref="K43:O43"/>
    <mergeCell ref="K34:O34"/>
    <mergeCell ref="K8:O8"/>
    <mergeCell ref="K9:O9"/>
    <mergeCell ref="K10:O10"/>
    <mergeCell ref="K11:O11"/>
    <mergeCell ref="K12:O12"/>
    <mergeCell ref="K13:O13"/>
    <mergeCell ref="K6:O6"/>
    <mergeCell ref="K24:O24"/>
    <mergeCell ref="K14:O14"/>
    <mergeCell ref="K15:O15"/>
    <mergeCell ref="K16:O16"/>
    <mergeCell ref="K17:O17"/>
    <mergeCell ref="K18:O18"/>
    <mergeCell ref="K19:O19"/>
    <mergeCell ref="K20:O20"/>
    <mergeCell ref="K21:O21"/>
    <mergeCell ref="K22:O22"/>
    <mergeCell ref="K23:O23"/>
    <mergeCell ref="K3:Y3"/>
    <mergeCell ref="L1:N1"/>
    <mergeCell ref="D86:H86"/>
    <mergeCell ref="C56:F56"/>
    <mergeCell ref="F71:I71"/>
    <mergeCell ref="F63:I63"/>
    <mergeCell ref="E57:G57"/>
    <mergeCell ref="C81:H81"/>
    <mergeCell ref="F69:I69"/>
    <mergeCell ref="H59:I59"/>
    <mergeCell ref="C85:H85"/>
    <mergeCell ref="I83:L83"/>
    <mergeCell ref="I81:L81"/>
    <mergeCell ref="C77:L77"/>
    <mergeCell ref="E79:H79"/>
    <mergeCell ref="E80:G80"/>
    <mergeCell ref="C82:E82"/>
    <mergeCell ref="F82:G82"/>
    <mergeCell ref="B34:C34"/>
    <mergeCell ref="G41:I41"/>
    <mergeCell ref="G48:I48"/>
    <mergeCell ref="G40:I40"/>
    <mergeCell ref="B41:E41"/>
    <mergeCell ref="B43:E43"/>
    <mergeCell ref="F33:I33"/>
    <mergeCell ref="H57:I57"/>
    <mergeCell ref="G46:I46"/>
    <mergeCell ref="B48:E48"/>
    <mergeCell ref="G52:I52"/>
    <mergeCell ref="I80:J80"/>
    <mergeCell ref="G49:I49"/>
    <mergeCell ref="C78:F78"/>
    <mergeCell ref="B55:D55"/>
    <mergeCell ref="G55:I55"/>
    <mergeCell ref="C47:G47"/>
    <mergeCell ref="G53:I53"/>
    <mergeCell ref="B57:C57"/>
    <mergeCell ref="G18:I18"/>
    <mergeCell ref="B15:C15"/>
    <mergeCell ref="B18:C18"/>
    <mergeCell ref="B24:C24"/>
    <mergeCell ref="G23:J23"/>
    <mergeCell ref="H30:I30"/>
    <mergeCell ref="X37:Y37"/>
    <mergeCell ref="X41:Y41"/>
    <mergeCell ref="D40:E40"/>
    <mergeCell ref="K25:O25"/>
    <mergeCell ref="K26:O26"/>
    <mergeCell ref="K27:O27"/>
    <mergeCell ref="K30:O30"/>
    <mergeCell ref="K31:O31"/>
    <mergeCell ref="K32:O32"/>
    <mergeCell ref="K33:O33"/>
    <mergeCell ref="K28:L28"/>
    <mergeCell ref="F19:I19"/>
    <mergeCell ref="G21:I21"/>
    <mergeCell ref="F20:I20"/>
    <mergeCell ref="B21:C21"/>
    <mergeCell ref="G22:I22"/>
    <mergeCell ref="B32:C32"/>
    <mergeCell ref="G32:I32"/>
    <mergeCell ref="B30:C30"/>
    <mergeCell ref="G31:I31"/>
    <mergeCell ref="D97:G97"/>
    <mergeCell ref="E88:H88"/>
    <mergeCell ref="C90:H90"/>
    <mergeCell ref="E89:G89"/>
    <mergeCell ref="C91:E91"/>
    <mergeCell ref="C92:L92"/>
    <mergeCell ref="G39:I39"/>
    <mergeCell ref="F35:I35"/>
    <mergeCell ref="G34:I34"/>
    <mergeCell ref="B39:C39"/>
    <mergeCell ref="B35:E35"/>
    <mergeCell ref="B52:E52"/>
    <mergeCell ref="C87:F87"/>
    <mergeCell ref="F66:I66"/>
    <mergeCell ref="C62:I62"/>
    <mergeCell ref="G61:H61"/>
    <mergeCell ref="H58:I58"/>
    <mergeCell ref="D58:G58"/>
    <mergeCell ref="G50:I50"/>
    <mergeCell ref="G56:I56"/>
    <mergeCell ref="B60:E60"/>
    <mergeCell ref="C59:G59"/>
    <mergeCell ref="B9:D9"/>
    <mergeCell ref="E10:I10"/>
    <mergeCell ref="F16:I16"/>
    <mergeCell ref="F15:I15"/>
    <mergeCell ref="E14:I14"/>
    <mergeCell ref="E13:I13"/>
    <mergeCell ref="G9:I9"/>
    <mergeCell ref="E11:I11"/>
    <mergeCell ref="F91:G91"/>
    <mergeCell ref="G29:I29"/>
    <mergeCell ref="B27:C27"/>
    <mergeCell ref="D27:E27"/>
    <mergeCell ref="G27:I27"/>
    <mergeCell ref="D25:F25"/>
    <mergeCell ref="F28:I28"/>
    <mergeCell ref="G12:I12"/>
    <mergeCell ref="G51:I51"/>
    <mergeCell ref="B50:E50"/>
    <mergeCell ref="D31:E31"/>
    <mergeCell ref="B37:E37"/>
    <mergeCell ref="G37:I37"/>
    <mergeCell ref="G38:I38"/>
    <mergeCell ref="B12:C12"/>
    <mergeCell ref="G24:I24"/>
    <mergeCell ref="J2:J4"/>
    <mergeCell ref="E6:I6"/>
    <mergeCell ref="E7:I7"/>
    <mergeCell ref="B2:D2"/>
    <mergeCell ref="E1:K1"/>
    <mergeCell ref="H3:I3"/>
    <mergeCell ref="G5:I5"/>
    <mergeCell ref="D4:E4"/>
    <mergeCell ref="B1:D1"/>
    <mergeCell ref="F4:H4"/>
    <mergeCell ref="F2:I2"/>
  </mergeCells>
  <phoneticPr fontId="0" type="noConversion"/>
  <conditionalFormatting sqref="H97 H89">
    <cfRule type="cellIs" dxfId="356" priority="2724" stopIfTrue="1" operator="greaterThan">
      <formula>0</formula>
    </cfRule>
    <cfRule type="cellIs" dxfId="355" priority="2725" stopIfTrue="1" operator="lessThanOrEqual">
      <formula>0</formula>
    </cfRule>
  </conditionalFormatting>
  <conditionalFormatting sqref="P87:Q87">
    <cfRule type="cellIs" dxfId="354" priority="448" stopIfTrue="1" operator="equal">
      <formula>"#DIV/0! or #N/A indicates data are missing"</formula>
    </cfRule>
  </conditionalFormatting>
  <conditionalFormatting sqref="K80">
    <cfRule type="cellIs" dxfId="353" priority="190" stopIfTrue="1" operator="equal">
      <formula>"increasing"</formula>
    </cfRule>
    <cfRule type="cellIs" dxfId="352" priority="191" stopIfTrue="1" operator="equal">
      <formula>"decreasing"</formula>
    </cfRule>
  </conditionalFormatting>
  <conditionalFormatting sqref="P84:Q86">
    <cfRule type="cellIs" dxfId="351" priority="2927" stopIfTrue="1" operator="equal">
      <formula>"Insiders are selling more shares than they are buying"</formula>
    </cfRule>
    <cfRule type="cellIs" dxfId="350" priority="2928" stopIfTrue="1" operator="equal">
      <formula>"Insiders are buying more shares than they are selling"</formula>
    </cfRule>
  </conditionalFormatting>
  <conditionalFormatting sqref="I80">
    <cfRule type="cellIs" dxfId="349" priority="185" stopIfTrue="1" operator="equal">
      <formula>"short interest seems reasonable"</formula>
    </cfRule>
    <cfRule type="cellIs" dxfId="348" priority="186" stopIfTrue="1" operator="equal">
      <formula>"Short Interest is very high; look at other parameters; consider a sell"</formula>
    </cfRule>
    <cfRule type="cellIs" dxfId="347" priority="187" stopIfTrue="1" operator="equal">
      <formula>"short interest is somewhat high--is it increasing?--evaluate the company"</formula>
    </cfRule>
  </conditionalFormatting>
  <conditionalFormatting sqref="E89:G89">
    <cfRule type="cellIs" dxfId="346" priority="2523" stopIfTrue="1" operator="equal">
      <formula>"company is selling at a discount of:"</formula>
    </cfRule>
    <cfRule type="cellIs" dxfId="345" priority="2524" stopIfTrue="1" operator="equal">
      <formula>"company is over valued"</formula>
    </cfRule>
  </conditionalFormatting>
  <conditionalFormatting sqref="C84:C86">
    <cfRule type="cellIs" dxfId="344" priority="56" stopIfTrue="1" operator="equal">
      <formula>"Bummer, the Price to Sales Ratio is higher than the Ind. Avg."</formula>
    </cfRule>
    <cfRule type="cellIs" dxfId="343" priority="57" stopIfTrue="1" operator="equal">
      <formula>"Good, the Price to Sales Ratio is lower than the Industry Average"</formula>
    </cfRule>
  </conditionalFormatting>
  <conditionalFormatting sqref="D66">
    <cfRule type="cellIs" dxfId="342" priority="85" stopIfTrue="1" operator="lessThan">
      <formula>2</formula>
    </cfRule>
    <cfRule type="cellIs" dxfId="341" priority="86" stopIfTrue="1" operator="between">
      <formula>2</formula>
      <formula>2.3</formula>
    </cfRule>
    <cfRule type="cellIs" dxfId="340" priority="87" stopIfTrue="1" operator="greaterThan">
      <formula>2.3</formula>
    </cfRule>
  </conditionalFormatting>
  <conditionalFormatting sqref="D63">
    <cfRule type="cellIs" dxfId="339" priority="91" stopIfTrue="1" operator="lessThan">
      <formula>1</formula>
    </cfRule>
    <cfRule type="cellIs" dxfId="338" priority="92" stopIfTrue="1" operator="between">
      <formula>1</formula>
      <formula>1.5</formula>
    </cfRule>
    <cfRule type="cellIs" dxfId="337" priority="93" stopIfTrue="1" operator="greaterThan">
      <formula>1.5</formula>
    </cfRule>
  </conditionalFormatting>
  <conditionalFormatting sqref="D75">
    <cfRule type="cellIs" dxfId="336" priority="95" stopIfTrue="1" operator="lessThanOrEqual">
      <formula>1</formula>
    </cfRule>
    <cfRule type="cellIs" dxfId="335" priority="96" stopIfTrue="1" operator="between">
      <formula>1</formula>
      <formula>3</formula>
    </cfRule>
    <cfRule type="cellIs" dxfId="334" priority="97" stopIfTrue="1" operator="greaterThanOrEqual">
      <formula>3</formula>
    </cfRule>
  </conditionalFormatting>
  <conditionalFormatting sqref="I81">
    <cfRule type="cellIs" dxfId="333" priority="211" stopIfTrue="1" operator="equal">
      <formula>"short interest is fairly low and decreasing--see if this trend continues"</formula>
    </cfRule>
    <cfRule type="cellIs" dxfId="332" priority="212" stopIfTrue="1" operator="equal">
      <formula>"Caution--Short Interest is very high and Increasing--consider a sell"</formula>
    </cfRule>
    <cfRule type="cellIs" dxfId="331" priority="213" stopIfTrue="1" operator="equal">
      <formula>"short interest is reasonable but increasing.  that's a caution signal"</formula>
    </cfRule>
  </conditionalFormatting>
  <conditionalFormatting sqref="F55">
    <cfRule type="cellIs" dxfId="330" priority="201" stopIfTrue="1" operator="greaterThan">
      <formula>0.1</formula>
    </cfRule>
    <cfRule type="cellIs" dxfId="329" priority="202" stopIfTrue="1" operator="lessThan">
      <formula>0.1</formula>
    </cfRule>
  </conditionalFormatting>
  <conditionalFormatting sqref="E55">
    <cfRule type="cellIs" dxfId="328" priority="203" stopIfTrue="1" operator="greaterThan">
      <formula>0</formula>
    </cfRule>
    <cfRule type="cellIs" dxfId="327" priority="204" stopIfTrue="1" operator="lessThan">
      <formula>0</formula>
    </cfRule>
  </conditionalFormatting>
  <conditionalFormatting sqref="G55:I55">
    <cfRule type="cellIs" dxfId="326" priority="205" stopIfTrue="1" operator="equal">
      <formula>"Oops - Net Cash is growing at a slower rate than Net Income"</formula>
    </cfRule>
    <cfRule type="cellIs" dxfId="325" priority="206" stopIfTrue="1" operator="equal">
      <formula>"Net Cash is growing faster than Net Income.  That normally is positive"</formula>
    </cfRule>
  </conditionalFormatting>
  <conditionalFormatting sqref="G56:I56">
    <cfRule type="cellIs" dxfId="324" priority="207" stopIfTrue="1" operator="equal">
      <formula>"caution - net cash is declining"</formula>
    </cfRule>
    <cfRule type="cellIs" dxfId="323" priority="208" stopIfTrue="1" operator="equal">
      <formula>"    net cash is growing"</formula>
    </cfRule>
  </conditionalFormatting>
  <conditionalFormatting sqref="C59:G59">
    <cfRule type="cellIs" dxfId="322" priority="209" stopIfTrue="1" operator="equal">
      <formula>"Oops, Cash Position is not meaningful - less than 20% of current price"</formula>
    </cfRule>
    <cfRule type="cellIs" dxfId="321" priority="210" stopIfTrue="1" operator="equal">
      <formula>"Good, Cash Position is meaningful - greater than 20% of current price"</formula>
    </cfRule>
  </conditionalFormatting>
  <conditionalFormatting sqref="G48:G51">
    <cfRule type="cellIs" dxfId="320" priority="112" stopIfTrue="1" operator="equal">
      <formula>"The return is less than the bond rate.  Is company spending cash wisely?"</formula>
    </cfRule>
    <cfRule type="cellIs" dxfId="319" priority="113" stopIfTrue="1" operator="equal">
      <formula>"Good - Free Cashflow return is greater than the bond yield"</formula>
    </cfRule>
  </conditionalFormatting>
  <conditionalFormatting sqref="F48">
    <cfRule type="cellIs" dxfId="318" priority="739" stopIfTrue="1" operator="greaterThanOrEqual">
      <formula>0.1</formula>
    </cfRule>
    <cfRule type="cellIs" dxfId="317" priority="740" stopIfTrue="1" operator="between">
      <formula>0.0500000001</formula>
      <formula>0.1</formula>
    </cfRule>
    <cfRule type="cellIs" dxfId="316" priority="741" stopIfTrue="1" operator="lessThanOrEqual">
      <formula>0.05</formula>
    </cfRule>
  </conditionalFormatting>
  <conditionalFormatting sqref="C56:F56">
    <cfRule type="cellIs" dxfId="315" priority="38" stopIfTrue="1" operator="equal">
      <formula>"Net income is growing"</formula>
    </cfRule>
    <cfRule type="cellIs" dxfId="314" priority="39" stopIfTrue="1" operator="equal">
      <formula>"Caution - Net Income is declining"</formula>
    </cfRule>
  </conditionalFormatting>
  <conditionalFormatting sqref="G46:I46">
    <cfRule type="cellIs" dxfId="313" priority="1326" stopIfTrue="1" operator="equal">
      <formula>"Good, Sales is growing faster than Assets"</formula>
    </cfRule>
    <cfRule type="cellIs" dxfId="312" priority="1327" stopIfTrue="1" operator="equal">
      <formula>"caution-assets are growing faster than sales"</formula>
    </cfRule>
  </conditionalFormatting>
  <conditionalFormatting sqref="F43">
    <cfRule type="cellIs" dxfId="311" priority="748" stopIfTrue="1" operator="greaterThan">
      <formula>0.05</formula>
    </cfRule>
    <cfRule type="cellIs" dxfId="310" priority="749" stopIfTrue="1" operator="lessThanOrEqual">
      <formula>0.05</formula>
    </cfRule>
  </conditionalFormatting>
  <conditionalFormatting sqref="E7:I7">
    <cfRule type="cellIs" dxfId="309" priority="154" stopIfTrue="1" operator="equal">
      <formula>"Inventories are also increasing - are the increases substantial?"</formula>
    </cfRule>
    <cfRule type="cellIs" dxfId="308" priority="155" stopIfTrue="1" operator="equal">
      <formula>"Good - Both Accounts Receivable and Inventories are decreasing"</formula>
    </cfRule>
    <cfRule type="cellIs" dxfId="307" priority="156" stopIfTrue="1" operator="equal">
      <formula>"If Sales are increasing at a similar rate, that is probably ok"</formula>
    </cfRule>
  </conditionalFormatting>
  <conditionalFormatting sqref="E6:I6">
    <cfRule type="cellIs" dxfId="306" priority="157" stopIfTrue="1" operator="equal">
      <formula>"Sales and Accounts Receivable are both increasing - If about equal, that's probably ok"</formula>
    </cfRule>
  </conditionalFormatting>
  <conditionalFormatting sqref="F24">
    <cfRule type="cellIs" dxfId="305" priority="88" stopIfTrue="1" operator="lessThanOrEqual">
      <formula>0.25</formula>
    </cfRule>
    <cfRule type="cellIs" dxfId="304" priority="89" stopIfTrue="1" operator="between">
      <formula>0.25</formula>
      <formula>0.3</formula>
    </cfRule>
    <cfRule type="cellIs" dxfId="303" priority="90" stopIfTrue="1" operator="greaterThan">
      <formula>0.3</formula>
    </cfRule>
  </conditionalFormatting>
  <conditionalFormatting sqref="F16">
    <cfRule type="cellIs" dxfId="302" priority="81" stopIfTrue="1" operator="equal">
      <formula>"caution - cost of sales increasing faster than sales"</formula>
    </cfRule>
    <cfRule type="cellIs" dxfId="301" priority="82" stopIfTrue="1" operator="equal">
      <formula>"good - sales increasing faster than cost of sales"</formula>
    </cfRule>
  </conditionalFormatting>
  <conditionalFormatting sqref="F12 F18">
    <cfRule type="cellIs" dxfId="300" priority="105" stopIfTrue="1" operator="greaterThan">
      <formula>0</formula>
    </cfRule>
    <cfRule type="cellIs" dxfId="299" priority="106" stopIfTrue="1" operator="lessThan">
      <formula>0</formula>
    </cfRule>
  </conditionalFormatting>
  <conditionalFormatting sqref="F39">
    <cfRule type="cellIs" dxfId="298" priority="107" stopIfTrue="1" operator="between">
      <formula>0.08</formula>
      <formula>0.1</formula>
    </cfRule>
    <cfRule type="cellIs" dxfId="297" priority="108" stopIfTrue="1" operator="greaterThan">
      <formula>0.1</formula>
    </cfRule>
    <cfRule type="cellIs" dxfId="296" priority="109" stopIfTrue="1" operator="lessThan">
      <formula>0.8</formula>
    </cfRule>
  </conditionalFormatting>
  <conditionalFormatting sqref="G39:I39">
    <cfRule type="cellIs" dxfId="295" priority="110" stopIfTrue="1" operator="equal">
      <formula>"Anything over 10 is Great - Substantially over 10 is EXCELLENT"</formula>
    </cfRule>
    <cfRule type="cellIs" dxfId="294" priority="111" stopIfTrue="1" operator="equal">
      <formula>"OOPS, anything less than 10 is bad news"</formula>
    </cfRule>
  </conditionalFormatting>
  <conditionalFormatting sqref="F41">
    <cfRule type="cellIs" dxfId="293" priority="114" stopIfTrue="1" operator="lessThan">
      <formula>$X$35</formula>
    </cfRule>
    <cfRule type="cellIs" dxfId="292" priority="115" stopIfTrue="1" operator="greaterThanOrEqual">
      <formula>$X$35/100</formula>
    </cfRule>
  </conditionalFormatting>
  <conditionalFormatting sqref="G40:I40">
    <cfRule type="cellIs" dxfId="291" priority="116" stopIfTrue="1" operator="equal">
      <formula>"Good, the $ amount per share at risk is reduced by this amount"</formula>
    </cfRule>
    <cfRule type="cellIs" dxfId="290" priority="117" stopIfTrue="1" operator="equal">
      <formula>"CAUTION there is added risk because of neg. cash per share"</formula>
    </cfRule>
  </conditionalFormatting>
  <conditionalFormatting sqref="F34">
    <cfRule type="cellIs" dxfId="289" priority="124" stopIfTrue="1" operator="greaterThan">
      <formula>0.02</formula>
    </cfRule>
    <cfRule type="cellIs" dxfId="288" priority="125" stopIfTrue="1" operator="between">
      <formula>0.02</formula>
      <formula>-0.01</formula>
    </cfRule>
    <cfRule type="cellIs" dxfId="287" priority="126" stopIfTrue="1" operator="lessThan">
      <formula>-0.01</formula>
    </cfRule>
  </conditionalFormatting>
  <conditionalFormatting sqref="H38:I38 G35:I36 F35">
    <cfRule type="cellIs" dxfId="286" priority="127" stopIfTrue="1" operator="equal">
      <formula>"caution - cashflow is not increasing at or better than the sales rate"</formula>
    </cfRule>
    <cfRule type="cellIs" dxfId="285" priority="128" stopIfTrue="1" operator="equal">
      <formula>"cashflow is growing faster than sales"</formula>
    </cfRule>
    <cfRule type="cellIs" dxfId="284" priority="129" stopIfTrue="1" operator="equal">
      <formula>"This ratio is not meaningful -- Caution is advised"</formula>
    </cfRule>
  </conditionalFormatting>
  <conditionalFormatting sqref="E15">
    <cfRule type="cellIs" dxfId="283" priority="130" stopIfTrue="1" operator="lessThan">
      <formula>0</formula>
    </cfRule>
    <cfRule type="cellIs" dxfId="282" priority="131" stopIfTrue="1" operator="greaterThan">
      <formula>0.25</formula>
    </cfRule>
    <cfRule type="cellIs" dxfId="281" priority="132" stopIfTrue="1" operator="between">
      <formula>0.01</formula>
      <formula>0.249</formula>
    </cfRule>
  </conditionalFormatting>
  <conditionalFormatting sqref="F15">
    <cfRule type="cellIs" dxfId="280" priority="133" stopIfTrue="1" operator="equal">
      <formula>"Caution - Why is it increasing?"</formula>
    </cfRule>
    <cfRule type="cellIs" dxfId="279" priority="134" stopIfTrue="1" operator="equal">
      <formula>"Cost of Sales is increasing but so is Sales"</formula>
    </cfRule>
  </conditionalFormatting>
  <conditionalFormatting sqref="F9 F5">
    <cfRule type="cellIs" dxfId="278" priority="135" stopIfTrue="1" operator="greaterThanOrEqual">
      <formula>0</formula>
    </cfRule>
    <cfRule type="cellIs" dxfId="277" priority="136" stopIfTrue="1" operator="lessThan">
      <formula>0</formula>
    </cfRule>
  </conditionalFormatting>
  <conditionalFormatting sqref="F32">
    <cfRule type="cellIs" dxfId="276" priority="137" stopIfTrue="1" operator="between">
      <formula>0</formula>
      <formula>0.02</formula>
    </cfRule>
    <cfRule type="cellIs" dxfId="275" priority="138" stopIfTrue="1" operator="greaterThan">
      <formula>0.02</formula>
    </cfRule>
  </conditionalFormatting>
  <conditionalFormatting sqref="D6:D7">
    <cfRule type="cellIs" dxfId="274" priority="139" stopIfTrue="1" operator="lessThan">
      <formula>45</formula>
    </cfRule>
    <cfRule type="cellIs" dxfId="273" priority="140" stopIfTrue="1" operator="between">
      <formula>45.1</formula>
      <formula>60</formula>
    </cfRule>
    <cfRule type="cellIs" dxfId="272" priority="141" stopIfTrue="1" operator="greaterThan">
      <formula>60</formula>
    </cfRule>
  </conditionalFormatting>
  <conditionalFormatting sqref="D10">
    <cfRule type="cellIs" dxfId="271" priority="142" stopIfTrue="1" operator="greaterThan">
      <formula>60</formula>
    </cfRule>
    <cfRule type="cellIs" dxfId="270" priority="143" stopIfTrue="1" operator="between">
      <formula>45</formula>
      <formula>60</formula>
    </cfRule>
    <cfRule type="cellIs" dxfId="269" priority="144" stopIfTrue="1" operator="lessThan">
      <formula>45</formula>
    </cfRule>
  </conditionalFormatting>
  <conditionalFormatting sqref="F27">
    <cfRule type="cellIs" dxfId="268" priority="151" stopIfTrue="1" operator="between">
      <formula>0.000001</formula>
      <formula>2.99999999</formula>
    </cfRule>
    <cfRule type="cellIs" dxfId="267" priority="152" stopIfTrue="1" operator="between">
      <formula>3</formula>
      <formula>4.99999999</formula>
    </cfRule>
    <cfRule type="cellIs" dxfId="266" priority="153" stopIfTrue="1" operator="greaterThan">
      <formula>5</formula>
    </cfRule>
  </conditionalFormatting>
  <conditionalFormatting sqref="G18:I18">
    <cfRule type="cellIs" dxfId="265" priority="160" stopIfTrue="1" operator="equal">
      <formula>"Caution - The investment in PP&amp;E is flat or decreasing"</formula>
    </cfRule>
    <cfRule type="cellIs" dxfId="264" priority="161" stopIfTrue="1" operator="equal">
      <formula>"OK - (Sales should grow as fast)"</formula>
    </cfRule>
  </conditionalFormatting>
  <conditionalFormatting sqref="F19:I19">
    <cfRule type="cellIs" dxfId="263" priority="162" stopIfTrue="1" operator="equal">
      <formula>"Way to GO! Sales are growing faster"</formula>
    </cfRule>
    <cfRule type="cellIs" dxfId="262" priority="163" stopIfTrue="1" operator="equal">
      <formula>"Oops - Sales aren't growing as fast"</formula>
    </cfRule>
  </conditionalFormatting>
  <conditionalFormatting sqref="E13:I13">
    <cfRule type="cellIs" dxfId="261" priority="164" stopIfTrue="1" operator="equal">
      <formula>"Caution - Accts Receivables growing faster than sales"</formula>
    </cfRule>
    <cfRule type="cellIs" dxfId="260" priority="165" stopIfTrue="1" operator="equal">
      <formula>"OK (Sales growing faster than Accts Receivable)"</formula>
    </cfRule>
  </conditionalFormatting>
  <conditionalFormatting sqref="F28:I28">
    <cfRule type="cellIs" dxfId="259" priority="168" stopIfTrue="1" operator="equal">
      <formula>"This company appears to be in good shape financially."</formula>
    </cfRule>
    <cfRule type="cellIs" dxfId="258" priority="169" stopIfTrue="1" operator="equal">
      <formula>"Caution, Interest Coverage is worrysome"</formula>
    </cfRule>
    <cfRule type="cellIs" dxfId="257" priority="170" stopIfTrue="1" operator="equal">
      <formula>"Caution, Interest Coverage is VERY worrysome"</formula>
    </cfRule>
  </conditionalFormatting>
  <conditionalFormatting sqref="G32">
    <cfRule type="cellIs" dxfId="256" priority="171" stopIfTrue="1" operator="equal">
      <formula>"Wrong direction (Increasing)--Dilution is occuring"</formula>
    </cfRule>
    <cfRule type="cellIs" dxfId="255" priority="172" stopIfTrue="1" operator="equal">
      <formula>"Right Direction (Decreasing)"</formula>
    </cfRule>
    <cfRule type="cellIs" dxfId="254" priority="173" stopIfTrue="1" operator="equal">
      <formula>"No significant change"</formula>
    </cfRule>
  </conditionalFormatting>
  <conditionalFormatting sqref="G9:I9">
    <cfRule type="cellIs" dxfId="253" priority="174" stopIfTrue="1" operator="equal">
      <formula>"YES! - Right direction (Decreasing)"</formula>
    </cfRule>
    <cfRule type="cellIs" dxfId="252" priority="175" stopIfTrue="1" operator="equal">
      <formula>"Whoa, wrong direction (Increasing)"</formula>
    </cfRule>
  </conditionalFormatting>
  <conditionalFormatting sqref="E10:I10">
    <cfRule type="cellIs" dxfId="251" priority="176" stopIfTrue="1" operator="equal">
      <formula>"CAUTION -- Both Accts. Receivable &amp; Inventories are increasing"</formula>
    </cfRule>
    <cfRule type="cellIs" dxfId="250" priority="177" stopIfTrue="1" operator="equal">
      <formula>"Both Accts Rec. &amp; Inventories are decreasing, that's positive."</formula>
    </cfRule>
    <cfRule type="cellIs" dxfId="249" priority="178" stopIfTrue="1" operator="equal">
      <formula>"If Sales are flat or decreasing, Caution"</formula>
    </cfRule>
  </conditionalFormatting>
  <conditionalFormatting sqref="E14:I14 E17:I17">
    <cfRule type="cellIs" dxfId="248" priority="181" stopIfTrue="1" operator="equal">
      <formula>"Caution: Inventories growing faster than sales"</formula>
    </cfRule>
    <cfRule type="cellIs" dxfId="247" priority="182" stopIfTrue="1" operator="equal">
      <formula>"Sales to Inventories ratio is OK (Sales growing faster than Inventories)"</formula>
    </cfRule>
  </conditionalFormatting>
  <conditionalFormatting sqref="H30:I30">
    <cfRule type="cellIs" dxfId="246" priority="183" stopIfTrue="1" operator="equal">
      <formula>"caution the gross margin is decreasing"</formula>
    </cfRule>
    <cfRule type="cellIs" dxfId="245" priority="184" stopIfTrue="1" operator="equal">
      <formula>"good, gross profit is increasing"</formula>
    </cfRule>
  </conditionalFormatting>
  <conditionalFormatting sqref="G21:I21">
    <cfRule type="cellIs" dxfId="244" priority="389" stopIfTrue="1" operator="equal">
      <formula>"Right direction (Decreasing)"</formula>
    </cfRule>
    <cfRule type="cellIs" dxfId="243" priority="390" stopIfTrue="1" operator="equal">
      <formula>"Wrong direction (Increasing)"</formula>
    </cfRule>
    <cfRule type="cellIs" dxfId="242" priority="391" stopIfTrue="1" operator="equal">
      <formula>"No long term debt can be very positive"</formula>
    </cfRule>
  </conditionalFormatting>
  <conditionalFormatting sqref="G22:I22">
    <cfRule type="cellIs" dxfId="241" priority="386" stopIfTrue="1" operator="equal">
      <formula>"Debt to Equity Ratio is OK"</formula>
    </cfRule>
    <cfRule type="cellIs" dxfId="240" priority="387" stopIfTrue="1" operator="equal">
      <formula>"Debt to Equity Ratio is High"</formula>
    </cfRule>
    <cfRule type="cellIs" dxfId="239" priority="388" stopIfTrue="1" operator="equal">
      <formula>"this company has no long-term debt"</formula>
    </cfRule>
  </conditionalFormatting>
  <conditionalFormatting sqref="G38">
    <cfRule type="cellIs" dxfId="238" priority="742" stopIfTrue="1" operator="equal">
      <formula>"the dividend is in danger of being cut or eliminated"</formula>
    </cfRule>
    <cfRule type="cellIs" dxfId="237" priority="743" stopIfTrue="1" operator="equal">
      <formula>"Ratio is probably sufficient--the dividend is not likely to be cut"</formula>
    </cfRule>
    <cfRule type="cellIs" dxfId="236" priority="744" stopIfTrue="1" operator="equal">
      <formula>"the ratio is low--can the current dividend be continued?"</formula>
    </cfRule>
  </conditionalFormatting>
  <conditionalFormatting sqref="F38">
    <cfRule type="cellIs" dxfId="235" priority="745" stopIfTrue="1" operator="lessThanOrEqual">
      <formula>1</formula>
    </cfRule>
    <cfRule type="cellIs" dxfId="234" priority="746" stopIfTrue="1" operator="lessThanOrEqual">
      <formula>1</formula>
    </cfRule>
    <cfRule type="cellIs" dxfId="233" priority="747" stopIfTrue="1" operator="greaterThanOrEqual">
      <formula>2</formula>
    </cfRule>
  </conditionalFormatting>
  <conditionalFormatting sqref="G12:I12">
    <cfRule type="cellIs" dxfId="232" priority="752" stopIfTrue="1" operator="equal">
      <formula>"Way to GO! (Increasing)"</formula>
    </cfRule>
    <cfRule type="cellIs" dxfId="231" priority="753" stopIfTrue="1" operator="equal">
      <formula>"Oh-Oh - Wrong way"</formula>
    </cfRule>
  </conditionalFormatting>
  <conditionalFormatting sqref="G27:I27">
    <cfRule type="cellIs" dxfId="230" priority="941" stopIfTrue="1" operator="equal">
      <formula>"the company has no long-term debt"</formula>
    </cfRule>
  </conditionalFormatting>
  <conditionalFormatting sqref="G5:I5">
    <cfRule type="cellIs" dxfId="229" priority="1128" stopIfTrue="1" operator="equal">
      <formula>"OK!, Right direction (Decreasing)"</formula>
    </cfRule>
    <cfRule type="cellIs" dxfId="228" priority="1129" stopIfTrue="1" operator="equal">
      <formula>"Oops - Wrong direction (Increasing)"</formula>
    </cfRule>
    <cfRule type="cellIs" dxfId="227" priority="1130" stopIfTrue="1" operator="equal">
      <formula>"wrong direction, but sales is growing faster"</formula>
    </cfRule>
  </conditionalFormatting>
  <conditionalFormatting sqref="G37:I37">
    <cfRule type="cellIs" dxfId="226" priority="1136" stopIfTrue="1" operator="equal">
      <formula>"the dividend is in danger of being cut or eliminated"</formula>
    </cfRule>
    <cfRule type="cellIs" dxfId="225" priority="1137" stopIfTrue="1" operator="equal">
      <formula>"Ratio is probably sufficient--the dividend is not likely to be cut"</formula>
    </cfRule>
    <cfRule type="cellIs" dxfId="224" priority="1138" stopIfTrue="1" operator="equal">
      <formula>"the ratio is low--can the current dividend be continued?"</formula>
    </cfRule>
  </conditionalFormatting>
  <conditionalFormatting sqref="G24:I24">
    <cfRule type="cellIs" dxfId="223" priority="1328" stopIfTrue="1" operator="equal">
      <formula>"Long-term Debt is in normal range"</formula>
    </cfRule>
    <cfRule type="cellIs" dxfId="222" priority="1329" stopIfTrue="1" operator="equal">
      <formula>"Long-term debt may be excessive"</formula>
    </cfRule>
    <cfRule type="cellIs" dxfId="221" priority="1330" stopIfTrue="1" operator="equal">
      <formula>"the company has No Long-term Debt"</formula>
    </cfRule>
  </conditionalFormatting>
  <conditionalFormatting sqref="M4:Q4">
    <cfRule type="cellIs" dxfId="220" priority="2114" stopIfTrue="1" operator="equal">
      <formula>"CAUTION: DATA ARE MISSING. Close the spreadsheet and open it again."</formula>
    </cfRule>
  </conditionalFormatting>
  <conditionalFormatting sqref="G41:I42">
    <cfRule type="cellIs" dxfId="219" priority="2916" stopIfTrue="1" operator="equal">
      <formula>"The return is less than the 10 year note.  Is company spending cash wisely?"</formula>
    </cfRule>
    <cfRule type="cellIs" dxfId="218" priority="2917" stopIfTrue="1" operator="equal">
      <formula>"Good - Free Cashflow return is greater than the 10 year note rate"</formula>
    </cfRule>
  </conditionalFormatting>
  <conditionalFormatting sqref="G31:I31">
    <cfRule type="cellIs" dxfId="217" priority="2918" stopIfTrue="1" operator="equal">
      <formula>"gross profit margin is better than the industry average"</formula>
    </cfRule>
    <cfRule type="cellIs" dxfId="216" priority="2919" stopIfTrue="1" operator="equal">
      <formula>"Oops, the company Gross Profit Margin is less than the industry average"</formula>
    </cfRule>
  </conditionalFormatting>
  <conditionalFormatting sqref="G43:I43">
    <cfRule type="cellIs" dxfId="215" priority="2920" stopIfTrue="1" operator="equal">
      <formula>"Earnings Yield is not significantly higher than the 10 year note rate."</formula>
    </cfRule>
    <cfRule type="cellIs" dxfId="214" priority="2921" stopIfTrue="1" operator="equal">
      <formula>"Earnings Yield is significantly greater than the 10 year note rate"</formula>
    </cfRule>
  </conditionalFormatting>
  <conditionalFormatting sqref="F21">
    <cfRule type="cellIs" dxfId="213" priority="2932" stopIfTrue="1" operator="greaterThan">
      <formula>0.25</formula>
    </cfRule>
    <cfRule type="cellIs" dxfId="212" priority="2933" stopIfTrue="1" operator="between">
      <formula>0</formula>
      <formula>0.25</formula>
    </cfRule>
  </conditionalFormatting>
  <conditionalFormatting sqref="E30">
    <cfRule type="expression" dxfId="211" priority="2937" stopIfTrue="1">
      <formula>$E$30&gt;$G$30</formula>
    </cfRule>
    <cfRule type="cellIs" dxfId="210" priority="2938" stopIfTrue="1" operator="lessThan">
      <formula>0.5</formula>
    </cfRule>
  </conditionalFormatting>
  <conditionalFormatting sqref="G30">
    <cfRule type="expression" dxfId="209" priority="20">
      <formula>$G$30&gt;$E$30</formula>
    </cfRule>
    <cfRule type="expression" dxfId="208" priority="2939" stopIfTrue="1">
      <formula>$E$30&gt;$G$30</formula>
    </cfRule>
  </conditionalFormatting>
  <conditionalFormatting sqref="F37">
    <cfRule type="cellIs" dxfId="207" priority="4009" stopIfTrue="1" operator="between">
      <formula>1</formula>
      <formula>2</formula>
    </cfRule>
    <cfRule type="cellIs" dxfId="206" priority="4010" stopIfTrue="1" operator="between">
      <formula>0.00000001</formula>
      <formula>1</formula>
    </cfRule>
    <cfRule type="cellIs" dxfId="205" priority="4011" stopIfTrue="1" operator="greaterThanOrEqual">
      <formula>2</formula>
    </cfRule>
  </conditionalFormatting>
  <conditionalFormatting sqref="B60:E60">
    <cfRule type="cellIs" dxfId="204" priority="4226" stopIfTrue="1" operator="equal">
      <formula>"At greater than 15%, cash per share may become a factor at"</formula>
    </cfRule>
  </conditionalFormatting>
  <conditionalFormatting sqref="E8:I8">
    <cfRule type="cellIs" dxfId="203" priority="4436" stopIfTrue="1" operator="equal">
      <formula>"A negative indicator is a positive sign"</formula>
    </cfRule>
  </conditionalFormatting>
  <conditionalFormatting sqref="F60">
    <cfRule type="cellIs" dxfId="202" priority="4437" stopIfTrue="1" operator="greaterThanOrEqual">
      <formula>0.15</formula>
    </cfRule>
    <cfRule type="cellIs" dxfId="201" priority="4438" stopIfTrue="1" operator="lessThanOrEqual">
      <formula>0.19999</formula>
    </cfRule>
  </conditionalFormatting>
  <conditionalFormatting sqref="K26 K51:L51">
    <cfRule type="cellIs" dxfId="200" priority="4439" stopIfTrue="1" operator="equal">
      <formula>"Discounted Cash Flow may be out of date.  Please update the value."</formula>
    </cfRule>
  </conditionalFormatting>
  <conditionalFormatting sqref="C87">
    <cfRule type="cellIs" dxfId="199" priority="4443" stopIfTrue="1" operator="equal">
      <formula>"Fair Value may be out of date.  Please update the value."</formula>
    </cfRule>
  </conditionalFormatting>
  <conditionalFormatting sqref="C91:E91">
    <cfRule type="cellIs" dxfId="198" priority="30" operator="equal">
      <formula>"Intrinsic value is up to date"</formula>
    </cfRule>
    <cfRule type="cellIs" dxfId="197" priority="4444" stopIfTrue="1" operator="equal">
      <formula>"Enter the date IV was updated (Todays date) &gt;&gt;"</formula>
    </cfRule>
  </conditionalFormatting>
  <conditionalFormatting sqref="P84:Q84">
    <cfRule type="cellIs" dxfId="196" priority="4663" stopIfTrue="1" operator="equal">
      <formula>"Insiders are selling more than buying"</formula>
    </cfRule>
    <cfRule type="cellIs" dxfId="195" priority="4664" stopIfTrue="1" operator="equal">
      <formula>"Insiders are buying more than selling"</formula>
    </cfRule>
    <cfRule type="cellIs" dxfId="194" priority="4665" stopIfTrue="1" operator="equal">
      <formula>"these data are not available"</formula>
    </cfRule>
  </conditionalFormatting>
  <conditionalFormatting sqref="M4:R4 V4:W4 T4">
    <cfRule type="cellIs" dxfId="193" priority="29" operator="equal">
      <formula>"Caution: One data item is missing"</formula>
    </cfRule>
  </conditionalFormatting>
  <conditionalFormatting sqref="O1">
    <cfRule type="cellIs" dxfId="192" priority="28" operator="equal">
      <formula>"It appears the most recent annual data are missing"</formula>
    </cfRule>
  </conditionalFormatting>
  <conditionalFormatting sqref="D57">
    <cfRule type="cellIs" dxfId="191" priority="4669" stopIfTrue="1" operator="lessThan">
      <formula>0</formula>
    </cfRule>
    <cfRule type="expression" dxfId="190" priority="4670" stopIfTrue="1">
      <formula>IF($X$34*0.2&gt;$D$57,TRUE)</formula>
    </cfRule>
    <cfRule type="expression" dxfId="189" priority="4671" stopIfTrue="1">
      <formula>IF($X$34*0.2&lt;$D$57,TRUE)</formula>
    </cfRule>
  </conditionalFormatting>
  <conditionalFormatting sqref="J82">
    <cfRule type="colorScale" priority="18">
      <colorScale>
        <cfvo type="num" val="16"/>
        <cfvo type="percentile" val="50"/>
        <cfvo type="num" val="25"/>
        <color rgb="FF00B050"/>
        <color rgb="FFFFFF00"/>
        <color rgb="FFFF0000"/>
      </colorScale>
    </cfRule>
  </conditionalFormatting>
  <conditionalFormatting sqref="C78">
    <cfRule type="cellIs" dxfId="188" priority="16" stopIfTrue="1" operator="equal">
      <formula>"Fair Value may be out of date.  Please update the value."</formula>
    </cfRule>
  </conditionalFormatting>
  <conditionalFormatting sqref="O1">
    <cfRule type="containsText" dxfId="187" priority="10" operator="containsText" text="missing">
      <formula>NOT(ISERROR(SEARCH("missing",O1)))</formula>
    </cfRule>
  </conditionalFormatting>
  <conditionalFormatting sqref="H80">
    <cfRule type="cellIs" dxfId="186" priority="6" stopIfTrue="1" operator="greaterThan">
      <formula>0</formula>
    </cfRule>
    <cfRule type="cellIs" dxfId="185" priority="7" stopIfTrue="1" operator="lessThanOrEqual">
      <formula>0</formula>
    </cfRule>
  </conditionalFormatting>
  <conditionalFormatting sqref="E80:G80">
    <cfRule type="cellIs" dxfId="184" priority="4" stopIfTrue="1" operator="equal">
      <formula>"company is selling at a discount of:"</formula>
    </cfRule>
    <cfRule type="cellIs" dxfId="183" priority="5" stopIfTrue="1" operator="equal">
      <formula>"company is over valued"</formula>
    </cfRule>
  </conditionalFormatting>
  <conditionalFormatting sqref="C82:E82">
    <cfRule type="containsText" dxfId="182" priority="3" operator="containsText" text="intrinsic">
      <formula>NOT(ISERROR(SEARCH("intrinsic",C82)))</formula>
    </cfRule>
    <cfRule type="containsText" dxfId="181" priority="8" stopIfTrue="1" operator="containsText" text="today">
      <formula>NOT(ISERROR(SEARCH("today",C82)))</formula>
    </cfRule>
  </conditionalFormatting>
  <conditionalFormatting sqref="Z5">
    <cfRule type="expression" dxfId="180" priority="2">
      <formula>"if(""error"")"</formula>
    </cfRule>
  </conditionalFormatting>
  <conditionalFormatting sqref="K4">
    <cfRule type="containsText" dxfId="179" priority="1" operator="containsText" text="error">
      <formula>NOT(ISERROR(SEARCH("error",K4)))</formula>
    </cfRule>
  </conditionalFormatting>
  <hyperlinks>
    <hyperlink ref="J11" location="'G-2'!A1" display="'G-2'!A1" xr:uid="{00000000-0004-0000-0100-000000000000}"/>
    <hyperlink ref="J65" location="'G-9'!A1" display="'G-9'!A1" xr:uid="{00000000-0004-0000-0100-000001000000}"/>
    <hyperlink ref="J49" location="'G-6'!A1" display="'G-6'!A1" xr:uid="{00000000-0004-0000-0100-000002000000}"/>
    <hyperlink ref="X41:Y41" r:id="rId1" display="See www.Investopedia.com for item definitions" xr:uid="{00000000-0004-0000-0100-000003000000}"/>
    <hyperlink ref="J19" location="'G-3'!A1" display="'G-3'!A1" xr:uid="{00000000-0004-0000-0100-000004000000}"/>
    <hyperlink ref="J54" location="'G-7a'!A1" display="'G-7a'!A1" xr:uid="{00000000-0004-0000-0100-000005000000}"/>
    <hyperlink ref="J52" location="'G-7a'!A1" display="'G-7a'!A1" xr:uid="{00000000-0004-0000-0100-000006000000}"/>
    <hyperlink ref="J13" location="'G-2a'!A1" display="2a" xr:uid="{00000000-0004-0000-0100-000007000000}"/>
    <hyperlink ref="J30" location="'G-4'!A1" display="'G-4'!A1" xr:uid="{00000000-0004-0000-0100-000008000000}"/>
    <hyperlink ref="J46" location="'G-5a'!A1" display="5a" xr:uid="{00000000-0004-0000-0100-000009000000}"/>
    <hyperlink ref="J22" location="'G-3a'!A1" display="3a" xr:uid="{00000000-0004-0000-0100-00000A000000}"/>
    <hyperlink ref="J6" location="'G-1'!A1" display="'G-1'!A1" xr:uid="{00000000-0004-0000-0100-00000B000000}"/>
    <hyperlink ref="J8" location="'G-1a'!A1" display="1a" xr:uid="{00000000-0004-0000-0100-00000C000000}"/>
    <hyperlink ref="E79:H79" r:id="rId2" display="CLICK HERE FOR INTRINSIC VALUE" xr:uid="{72A59889-ADC0-4665-858E-7FD584AB5352}"/>
  </hyperlinks>
  <printOptions horizontalCentered="1" verticalCentered="1" gridLinesSet="0"/>
  <pageMargins left="0.25" right="0.25" top="0.25" bottom="0.25" header="0" footer="0"/>
  <pageSetup scale="78" fitToHeight="0" orientation="landscape" r:id="rId3"/>
  <headerFooter differentOddEven="1" alignWithMargins="0">
    <evenFooter>&amp;C&amp;Z&amp;F</evenFooter>
  </headerFooter>
  <rowBreaks count="1" manualBreakCount="1">
    <brk id="51" max="16383" man="1"/>
  </rowBreaks>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tabColor indexed="46"/>
  </sheetPr>
  <dimension ref="A15:O38"/>
  <sheetViews>
    <sheetView showGridLines="0" showRowColHeaders="0" workbookViewId="0"/>
  </sheetViews>
  <sheetFormatPr defaultRowHeight="12" x14ac:dyDescent="0.2"/>
  <cols>
    <col min="8" max="8" width="1.44140625" customWidth="1"/>
  </cols>
  <sheetData>
    <row r="15" spans="1:15" ht="8.25" customHeight="1" x14ac:dyDescent="0.2"/>
    <row r="16" spans="1:15" ht="13.2" x14ac:dyDescent="0.25">
      <c r="A16" s="620" t="s">
        <v>175</v>
      </c>
      <c r="B16" s="620"/>
      <c r="C16" s="620"/>
      <c r="D16" s="620"/>
      <c r="E16" s="620"/>
      <c r="F16" s="620"/>
      <c r="G16" s="620"/>
      <c r="I16" s="606"/>
      <c r="J16" s="606"/>
      <c r="K16" s="606"/>
      <c r="L16" s="606"/>
      <c r="M16" s="606"/>
      <c r="N16" s="606"/>
      <c r="O16" s="606"/>
    </row>
    <row r="18" spans="6:8" ht="13.8" x14ac:dyDescent="0.3">
      <c r="F18" s="595" t="s">
        <v>144</v>
      </c>
      <c r="G18" s="596"/>
      <c r="H18" s="597"/>
    </row>
    <row r="38" ht="12.75" customHeight="1" x14ac:dyDescent="0.2"/>
  </sheetData>
  <mergeCells count="3">
    <mergeCell ref="F18:H18"/>
    <mergeCell ref="A16:G16"/>
    <mergeCell ref="I16:O16"/>
  </mergeCells>
  <phoneticPr fontId="53" type="noConversion"/>
  <hyperlinks>
    <hyperlink ref="F18:H18" location="Analysis!A1" display="Return to Analysis Summary " xr:uid="{00000000-0004-0000-1300-000000000000}"/>
  </hyperlinks>
  <pageMargins left="0.75" right="0.75" top="1" bottom="1" header="0.5" footer="0.5"/>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0">
    <tabColor indexed="46"/>
  </sheetPr>
  <dimension ref="A15:O25"/>
  <sheetViews>
    <sheetView showGridLines="0" showRowColHeaders="0" workbookViewId="0">
      <selection activeCell="F22" sqref="F22:H22"/>
    </sheetView>
  </sheetViews>
  <sheetFormatPr defaultRowHeight="12" x14ac:dyDescent="0.2"/>
  <cols>
    <col min="8" max="8" width="1.77734375" customWidth="1"/>
  </cols>
  <sheetData>
    <row r="15" spans="1:15" ht="12" customHeight="1" x14ac:dyDescent="0.2">
      <c r="D15" s="628" t="str">
        <f>IF(InventoriesThisYear=0,"This company has no Inventories, therefore Quick Ratio and Current Ratio values are the same","")</f>
        <v/>
      </c>
      <c r="E15" s="628"/>
      <c r="F15" s="628"/>
      <c r="G15" s="628"/>
      <c r="H15" s="628"/>
      <c r="I15" s="628"/>
      <c r="J15" s="628"/>
      <c r="K15" s="628"/>
      <c r="L15" s="628"/>
      <c r="M15" s="628"/>
    </row>
    <row r="16" spans="1:15" ht="70.5" customHeight="1" x14ac:dyDescent="0.2">
      <c r="A16" s="614" t="s">
        <v>159</v>
      </c>
      <c r="B16" s="614"/>
      <c r="C16" s="614"/>
      <c r="D16" s="614"/>
      <c r="E16" s="614"/>
      <c r="F16" s="614"/>
      <c r="G16" s="614"/>
      <c r="H16" s="614"/>
      <c r="I16" s="614"/>
      <c r="J16" s="614"/>
      <c r="K16" s="614"/>
      <c r="L16" s="614"/>
      <c r="M16" s="614"/>
      <c r="N16" s="614"/>
      <c r="O16" s="614"/>
    </row>
    <row r="17" spans="1:15" s="103" customFormat="1" ht="34.5" customHeight="1" x14ac:dyDescent="0.2">
      <c r="A17" s="629" t="s">
        <v>158</v>
      </c>
      <c r="B17" s="629"/>
      <c r="C17" s="629"/>
      <c r="D17" s="629"/>
      <c r="E17" s="629"/>
      <c r="F17" s="629"/>
      <c r="G17" s="629"/>
      <c r="H17" s="629"/>
      <c r="I17" s="629"/>
      <c r="J17" s="629"/>
      <c r="K17" s="629"/>
      <c r="L17" s="629"/>
      <c r="M17" s="629"/>
      <c r="N17" s="629"/>
      <c r="O17" s="629"/>
    </row>
    <row r="18" spans="1:15" ht="78.75" customHeight="1" x14ac:dyDescent="0.2">
      <c r="A18" s="630" t="s">
        <v>34</v>
      </c>
      <c r="B18" s="630"/>
      <c r="C18" s="630"/>
      <c r="D18" s="630"/>
      <c r="E18" s="630"/>
      <c r="F18" s="630"/>
      <c r="G18" s="630"/>
      <c r="H18" s="630"/>
      <c r="I18" s="630"/>
      <c r="J18" s="630"/>
      <c r="K18" s="630"/>
      <c r="L18" s="630"/>
      <c r="M18" s="630"/>
      <c r="N18" s="630"/>
      <c r="O18" s="630"/>
    </row>
    <row r="19" spans="1:15" ht="12.75" customHeight="1" x14ac:dyDescent="0.2">
      <c r="A19" s="631" t="s">
        <v>89</v>
      </c>
      <c r="B19" s="631"/>
      <c r="C19" s="631"/>
      <c r="D19" s="631"/>
      <c r="E19" s="631"/>
      <c r="F19" s="631"/>
      <c r="G19" s="631"/>
      <c r="H19" s="631"/>
      <c r="I19" s="631"/>
      <c r="J19" s="631"/>
      <c r="K19" s="631"/>
      <c r="L19" s="631"/>
      <c r="M19" s="631"/>
      <c r="N19" s="631"/>
      <c r="O19" s="631"/>
    </row>
    <row r="20" spans="1:15" ht="12.75" customHeight="1" x14ac:dyDescent="0.2">
      <c r="A20" s="631"/>
      <c r="B20" s="631"/>
      <c r="C20" s="631"/>
      <c r="D20" s="631"/>
      <c r="E20" s="631"/>
      <c r="F20" s="631"/>
      <c r="G20" s="631"/>
      <c r="H20" s="631"/>
      <c r="I20" s="631"/>
      <c r="J20" s="631"/>
      <c r="K20" s="631"/>
      <c r="L20" s="631"/>
      <c r="M20" s="631"/>
      <c r="N20" s="631"/>
      <c r="O20" s="631"/>
    </row>
    <row r="21" spans="1:15" x14ac:dyDescent="0.2">
      <c r="A21" s="100"/>
      <c r="B21" s="100"/>
    </row>
    <row r="22" spans="1:15" ht="12.75" customHeight="1" x14ac:dyDescent="0.3">
      <c r="A22" s="101"/>
      <c r="B22" s="102"/>
      <c r="F22" s="600" t="s">
        <v>144</v>
      </c>
      <c r="G22" s="601"/>
      <c r="H22" s="602"/>
    </row>
    <row r="23" spans="1:15" x14ac:dyDescent="0.2">
      <c r="A23" s="101"/>
      <c r="B23" s="102"/>
    </row>
    <row r="24" spans="1:15" x14ac:dyDescent="0.2">
      <c r="A24" s="101"/>
      <c r="B24" s="102"/>
    </row>
    <row r="25" spans="1:15" x14ac:dyDescent="0.2">
      <c r="A25" s="101"/>
      <c r="B25" s="102"/>
    </row>
  </sheetData>
  <mergeCells count="6">
    <mergeCell ref="D15:M15"/>
    <mergeCell ref="F22:H22"/>
    <mergeCell ref="A16:O16"/>
    <mergeCell ref="A17:O17"/>
    <mergeCell ref="A18:O18"/>
    <mergeCell ref="A19:O20"/>
  </mergeCells>
  <phoneticPr fontId="53" type="noConversion"/>
  <hyperlinks>
    <hyperlink ref="F22:H22" location="Analysis!A1" display="Return to Analysis Summary " xr:uid="{00000000-0004-0000-1400-000000000000}"/>
  </hyperlink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rgb="FFFF0000"/>
  </sheetPr>
  <dimension ref="A1:Q172"/>
  <sheetViews>
    <sheetView zoomScale="75" zoomScaleNormal="75" workbookViewId="0">
      <pane xSplit="1" ySplit="4" topLeftCell="B8" activePane="bottomRight" state="frozen"/>
      <selection activeCell="E30" sqref="E30"/>
      <selection pane="topRight" activeCell="E30" sqref="E30"/>
      <selection pane="bottomLeft" activeCell="E30" sqref="E30"/>
      <selection pane="bottomRight" activeCell="G15" sqref="G15"/>
    </sheetView>
  </sheetViews>
  <sheetFormatPr defaultColWidth="9" defaultRowHeight="15" x14ac:dyDescent="0.35"/>
  <cols>
    <col min="1" max="1" width="4.77734375" style="185" customWidth="1"/>
    <col min="2" max="2" width="40.77734375" style="185" customWidth="1"/>
    <col min="3" max="3" width="13.88671875" style="185" customWidth="1"/>
    <col min="4" max="4" width="12.6640625" style="185" customWidth="1"/>
    <col min="5" max="5" width="12.44140625" style="185" customWidth="1"/>
    <col min="6" max="6" width="12.21875" style="185" customWidth="1"/>
    <col min="7" max="7" width="11.6640625" style="185" customWidth="1"/>
    <col min="8" max="8" width="10.77734375" style="193" customWidth="1"/>
    <col min="9" max="9" width="11.88671875" style="185" customWidth="1"/>
    <col min="10" max="10" width="11.44140625" style="185" customWidth="1"/>
    <col min="11" max="11" width="12" style="185" customWidth="1"/>
    <col min="12" max="12" width="12.109375" style="185" customWidth="1"/>
    <col min="13" max="13" width="13.109375" style="185" customWidth="1"/>
    <col min="14" max="14" width="12.33203125" style="185" customWidth="1"/>
    <col min="15" max="16384" width="9" style="185"/>
  </cols>
  <sheetData>
    <row r="1" spans="1:14" ht="16.8" x14ac:dyDescent="0.35">
      <c r="B1" s="303" t="str">
        <f>Analysis!E2</f>
        <v>aapl</v>
      </c>
      <c r="C1"/>
      <c r="D1"/>
    </row>
    <row r="2" spans="1:14" x14ac:dyDescent="0.35">
      <c r="C2" s="304"/>
      <c r="D2" s="304"/>
      <c r="E2" s="304"/>
      <c r="F2" s="304"/>
      <c r="G2" s="304"/>
    </row>
    <row r="3" spans="1:14" x14ac:dyDescent="0.35">
      <c r="B3" s="192" t="s">
        <v>148</v>
      </c>
      <c r="C3" s="350"/>
      <c r="D3" s="350"/>
      <c r="E3" s="350"/>
      <c r="F3" s="350"/>
      <c r="G3" s="350"/>
      <c r="I3" s="238"/>
      <c r="J3" s="238"/>
      <c r="K3" s="238"/>
      <c r="L3" s="238"/>
      <c r="M3" s="238"/>
    </row>
    <row r="4" spans="1:14" x14ac:dyDescent="0.35">
      <c r="A4" s="185">
        <f>MATCH(B4,AnnBS!A$200:A$405,0)</f>
        <v>74</v>
      </c>
      <c r="B4" s="216" t="s">
        <v>335</v>
      </c>
      <c r="C4" s="349">
        <f ca="1">OFFSET(INDEX(AnnBS!$A$200:$O$500,$A4,COLUMN()-COLUMN($A4)),1,0)</f>
        <v>44834</v>
      </c>
      <c r="D4" s="349">
        <f ca="1">OFFSET(INDEX(AnnBS!$A$200:$O$500,$A4,COLUMN()-COLUMN($A4)),1,0)</f>
        <v>44469</v>
      </c>
      <c r="E4" s="349">
        <f ca="1">OFFSET(INDEX(AnnBS!$A$200:$O$500,$A4,COLUMN()-COLUMN($A4)),1,0)</f>
        <v>44104</v>
      </c>
      <c r="F4" s="349">
        <f ca="1">OFFSET(INDEX(AnnBS!$A$200:$O$500,$A4,COLUMN()-COLUMN($A4)),1,0)</f>
        <v>43738</v>
      </c>
      <c r="G4" s="349">
        <f ca="1">OFFSET(INDEX(AnnBS!$A$200:$O$500,$A4,COLUMN()-COLUMN($A4)),1,0)</f>
        <v>43373</v>
      </c>
      <c r="I4" s="238">
        <f ca="1">G4</f>
        <v>43373</v>
      </c>
      <c r="J4" s="238">
        <f ca="1">F4</f>
        <v>43738</v>
      </c>
      <c r="K4" s="238">
        <f ca="1">E4</f>
        <v>44104</v>
      </c>
      <c r="L4" s="238">
        <f ca="1">D4</f>
        <v>44469</v>
      </c>
      <c r="M4" s="238">
        <f ca="1">C4</f>
        <v>44834</v>
      </c>
    </row>
    <row r="5" spans="1:14" x14ac:dyDescent="0.35">
      <c r="A5" s="185">
        <f>MATCH(B5,AnnBS!A$200:A$405,0)</f>
        <v>74</v>
      </c>
      <c r="B5" s="185" t="s">
        <v>335</v>
      </c>
      <c r="C5" s="349">
        <f ca="1">OFFSET(INDEX(AnnBS!$A$200:$O$500,$A5,COLUMN()-COLUMN($A5)),1,0)</f>
        <v>44834</v>
      </c>
      <c r="D5" s="349">
        <f ca="1">OFFSET(INDEX(AnnBS!$A$200:$O$500,$A5,COLUMN()-COLUMN($A5)),1,0)</f>
        <v>44469</v>
      </c>
      <c r="E5" s="349">
        <f ca="1">OFFSET(INDEX(AnnBS!$A$200:$O$500,$A5,COLUMN()-COLUMN($A5)),1,0)</f>
        <v>44104</v>
      </c>
      <c r="F5" s="349">
        <f ca="1">OFFSET(INDEX(AnnBS!$A$200:$O$500,$A5,COLUMN()-COLUMN($A5)),1,0)</f>
        <v>43738</v>
      </c>
      <c r="G5" s="349">
        <f ca="1">OFFSET(INDEX(AnnBS!$A$200:$O$500,$A5,COLUMN()-COLUMN($A5)),1,0)</f>
        <v>43373</v>
      </c>
      <c r="I5" s="238"/>
      <c r="J5" s="238"/>
      <c r="K5" s="238"/>
      <c r="L5" s="238"/>
      <c r="M5" s="238"/>
    </row>
    <row r="6" spans="1:14" x14ac:dyDescent="0.35">
      <c r="C6" s="194"/>
      <c r="D6" s="224"/>
      <c r="E6" s="224"/>
      <c r="F6" s="224"/>
      <c r="G6" s="224"/>
      <c r="H6" s="224"/>
      <c r="I6" s="212"/>
      <c r="J6" s="212"/>
      <c r="K6" s="212"/>
      <c r="L6" s="212"/>
      <c r="M6" s="212"/>
      <c r="N6" s="224"/>
    </row>
    <row r="7" spans="1:14" x14ac:dyDescent="0.35">
      <c r="A7" s="185">
        <f>MATCH(B7,AnnBS!A$200:A$405,0)</f>
        <v>77</v>
      </c>
      <c r="B7" s="185" t="s">
        <v>477</v>
      </c>
      <c r="C7" s="194">
        <f>INDEX(AnnBS!$A$200:$O$500,$A7,COLUMN()-COLUMN($A7))</f>
        <v>48304</v>
      </c>
      <c r="D7" s="194">
        <f>INDEX(AnnBS!$A$200:$O$500,$A7,COLUMN()-COLUMN($A7))</f>
        <v>62639</v>
      </c>
      <c r="E7" s="194">
        <f>INDEX(AnnBS!$A$200:$O$500,$A7,COLUMN()-COLUMN($A7))</f>
        <v>90943</v>
      </c>
      <c r="F7" s="194">
        <f>INDEX(AnnBS!$A$200:$O$500,$A7,COLUMN()-COLUMN($A7))</f>
        <v>100557</v>
      </c>
      <c r="G7" s="194">
        <f>INDEX(AnnBS!$A$200:$O$500,$A7,COLUMN()-COLUMN($A7))</f>
        <v>66301</v>
      </c>
      <c r="I7" s="355">
        <f>G7</f>
        <v>66301</v>
      </c>
      <c r="J7" s="355">
        <f>F7</f>
        <v>100557</v>
      </c>
      <c r="K7" s="355">
        <f>E7</f>
        <v>90943</v>
      </c>
      <c r="L7" s="355">
        <f>D7</f>
        <v>62639</v>
      </c>
      <c r="M7" s="355">
        <f>C7</f>
        <v>48304</v>
      </c>
      <c r="N7" s="185" t="s">
        <v>285</v>
      </c>
    </row>
    <row r="8" spans="1:14" x14ac:dyDescent="0.35">
      <c r="A8" s="185" t="e">
        <f>MATCH(B8,AnnBS!A$200:A$415,0)</f>
        <v>#N/A</v>
      </c>
      <c r="B8" s="221" t="s">
        <v>249</v>
      </c>
      <c r="C8" s="194" t="e">
        <f>INDEX(AnnBS!$A$200:$O$500,$A8,COLUMN()-COLUMN($A8))</f>
        <v>#N/A</v>
      </c>
      <c r="D8" s="194" t="e">
        <f>INDEX(AnnBS!$A$200:$O$500,$A8,COLUMN()-COLUMN($A8))</f>
        <v>#N/A</v>
      </c>
      <c r="E8" s="194" t="e">
        <f>INDEX(AnnBS!$A$200:$O$500,$A8,COLUMN()-COLUMN($A8))</f>
        <v>#N/A</v>
      </c>
      <c r="F8" s="194" t="e">
        <f>INDEX(AnnBS!$A$200:$O$500,$A8,COLUMN()-COLUMN($A8))</f>
        <v>#N/A</v>
      </c>
      <c r="G8" s="194" t="e">
        <f>INDEX(AnnBS!$A$200:$O$500,$A8,COLUMN()-COLUMN($A8))</f>
        <v>#N/A</v>
      </c>
      <c r="H8" s="195"/>
      <c r="I8" s="236" t="e">
        <f>IF(C8="--",0,C8)</f>
        <v>#N/A</v>
      </c>
      <c r="J8" s="236" t="e">
        <f t="shared" ref="J8:M8" si="0">IF(D8="--",0,D8)</f>
        <v>#N/A</v>
      </c>
      <c r="K8" s="236" t="e">
        <f t="shared" si="0"/>
        <v>#N/A</v>
      </c>
      <c r="L8" s="236" t="e">
        <f t="shared" si="0"/>
        <v>#N/A</v>
      </c>
      <c r="M8" s="236" t="e">
        <f t="shared" si="0"/>
        <v>#N/A</v>
      </c>
      <c r="N8" s="185" t="s">
        <v>285</v>
      </c>
    </row>
    <row r="9" spans="1:14" x14ac:dyDescent="0.35">
      <c r="A9" s="185">
        <f>MATCH(B9,AnnBS!A$200:A$405,0)</f>
        <v>78</v>
      </c>
      <c r="B9" s="185" t="s">
        <v>478</v>
      </c>
      <c r="C9" s="194">
        <f>INDEX(AnnBS!$A$200:$O$500,$A9,COLUMN()-COLUMN($A9))</f>
        <v>60932</v>
      </c>
      <c r="D9" s="194">
        <f>INDEX(AnnBS!$A$200:$O$500,$A9,COLUMN()-COLUMN($A9))</f>
        <v>51506</v>
      </c>
      <c r="E9" s="194">
        <f>INDEX(AnnBS!$A$200:$O$500,$A9,COLUMN()-COLUMN($A9))</f>
        <v>37445</v>
      </c>
      <c r="F9" s="194">
        <f>INDEX(AnnBS!$A$200:$O$500,$A9,COLUMN()-COLUMN($A9))</f>
        <v>45804</v>
      </c>
      <c r="G9" s="194">
        <f>INDEX(AnnBS!$A$200:$O$500,$A9,COLUMN()-COLUMN($A9))</f>
        <v>48995</v>
      </c>
      <c r="I9" s="355">
        <f>G9</f>
        <v>48995</v>
      </c>
      <c r="J9" s="355">
        <f>F9</f>
        <v>45804</v>
      </c>
      <c r="K9" s="355">
        <f>E9</f>
        <v>37445</v>
      </c>
      <c r="L9" s="355">
        <f>D9</f>
        <v>51506</v>
      </c>
      <c r="M9" s="355">
        <f>C9</f>
        <v>60932</v>
      </c>
      <c r="N9" s="185" t="s">
        <v>285</v>
      </c>
    </row>
    <row r="10" spans="1:14" x14ac:dyDescent="0.35">
      <c r="A10" s="185">
        <f>MATCH(B10,AnnBS!A$200:A$405,0)</f>
        <v>80</v>
      </c>
      <c r="B10" s="185" t="s">
        <v>46</v>
      </c>
      <c r="C10" s="194">
        <f>INDEX(AnnBS!$A$200:$O$500,$A10,COLUMN()-COLUMN($A10))</f>
        <v>4946</v>
      </c>
      <c r="D10" s="194">
        <f>INDEX(AnnBS!$A$200:$O$500,$A10,COLUMN()-COLUMN($A10))</f>
        <v>6580</v>
      </c>
      <c r="E10" s="194">
        <f>INDEX(AnnBS!$A$200:$O$500,$A10,COLUMN()-COLUMN($A10))</f>
        <v>4061</v>
      </c>
      <c r="F10" s="194">
        <f>INDEX(AnnBS!$A$200:$O$500,$A10,COLUMN()-COLUMN($A10))</f>
        <v>4106</v>
      </c>
      <c r="G10" s="194">
        <f>INDEX(AnnBS!$A$200:$O$500,$A10,COLUMN()-COLUMN($A10))</f>
        <v>3956</v>
      </c>
      <c r="I10" s="355">
        <f>G10</f>
        <v>3956</v>
      </c>
      <c r="J10" s="355">
        <f>F10</f>
        <v>4106</v>
      </c>
      <c r="K10" s="355">
        <f>E10</f>
        <v>4061</v>
      </c>
      <c r="L10" s="355">
        <f>D10</f>
        <v>6580</v>
      </c>
      <c r="M10" s="355">
        <f>C10</f>
        <v>4946</v>
      </c>
      <c r="N10" s="185" t="s">
        <v>285</v>
      </c>
    </row>
    <row r="11" spans="1:14" x14ac:dyDescent="0.35">
      <c r="C11" s="194"/>
      <c r="D11" s="194"/>
      <c r="E11" s="194"/>
      <c r="F11" s="194"/>
      <c r="G11" s="194"/>
      <c r="I11" s="236">
        <f>IF(I10&lt;0,-I10,I10)</f>
        <v>3956</v>
      </c>
      <c r="J11" s="236">
        <f t="shared" ref="J11:M11" si="1">IF(J10&lt;0,-J10,J10)</f>
        <v>4106</v>
      </c>
      <c r="K11" s="236">
        <f t="shared" si="1"/>
        <v>4061</v>
      </c>
      <c r="L11" s="236">
        <f t="shared" si="1"/>
        <v>6580</v>
      </c>
      <c r="M11" s="236">
        <f t="shared" si="1"/>
        <v>4946</v>
      </c>
      <c r="N11" s="185" t="s">
        <v>287</v>
      </c>
    </row>
    <row r="12" spans="1:14" x14ac:dyDescent="0.35">
      <c r="C12" s="194"/>
      <c r="D12" s="194"/>
      <c r="E12" s="194"/>
      <c r="F12" s="194"/>
      <c r="G12" s="194"/>
      <c r="I12" s="236"/>
      <c r="J12" s="236"/>
      <c r="K12" s="236"/>
      <c r="L12" s="236"/>
      <c r="M12" s="236"/>
    </row>
    <row r="13" spans="1:14" x14ac:dyDescent="0.35">
      <c r="A13" s="185">
        <f>MATCH(B13,AnnBS!A$200:A$415,0)</f>
        <v>82</v>
      </c>
      <c r="B13" s="185" t="s">
        <v>47</v>
      </c>
      <c r="C13" s="194">
        <f>INDEX(AnnBS!$A$200:$O$500,$A13,COLUMN()-COLUMN($A13))</f>
        <v>135405</v>
      </c>
      <c r="D13" s="194">
        <f>INDEX(AnnBS!$A$200:$O$500,$A13,COLUMN()-COLUMN($A13))</f>
        <v>134836</v>
      </c>
      <c r="E13" s="194">
        <f>INDEX(AnnBS!$A$200:$O$500,$A13,COLUMN()-COLUMN($A13))</f>
        <v>143713</v>
      </c>
      <c r="F13" s="194">
        <f>INDEX(AnnBS!$A$200:$O$500,$A13,COLUMN()-COLUMN($A13))</f>
        <v>162819</v>
      </c>
      <c r="G13" s="194">
        <f>INDEX(AnnBS!$A$200:$O$500,$A13,COLUMN()-COLUMN($A13))</f>
        <v>131339</v>
      </c>
      <c r="H13" s="196"/>
      <c r="I13" s="355">
        <f>G13</f>
        <v>131339</v>
      </c>
      <c r="J13" s="355">
        <f>F13</f>
        <v>162819</v>
      </c>
      <c r="K13" s="355">
        <f>E13</f>
        <v>143713</v>
      </c>
      <c r="L13" s="355">
        <f>D13</f>
        <v>134836</v>
      </c>
      <c r="M13" s="355">
        <f>C13</f>
        <v>135405</v>
      </c>
      <c r="N13" s="185" t="s">
        <v>285</v>
      </c>
    </row>
    <row r="14" spans="1:14" x14ac:dyDescent="0.35">
      <c r="A14" s="185">
        <f>MATCH(B14,AnnBS!A$200:A$415,0)</f>
        <v>89</v>
      </c>
      <c r="B14" s="185" t="s">
        <v>130</v>
      </c>
      <c r="C14" s="194">
        <f>INDEX(AnnBS!$A$200:$O$500,$A14,COLUMN()-COLUMN($A14))</f>
        <v>352755</v>
      </c>
      <c r="D14" s="194">
        <f>INDEX(AnnBS!$A$200:$O$500,$A14,COLUMN()-COLUMN($A14))</f>
        <v>351002</v>
      </c>
      <c r="E14" s="194">
        <f>INDEX(AnnBS!$A$200:$O$500,$A14,COLUMN()-COLUMN($A14))</f>
        <v>323888</v>
      </c>
      <c r="F14" s="194">
        <f>INDEX(AnnBS!$A$200:$O$500,$A14,COLUMN()-COLUMN($A14))</f>
        <v>338516</v>
      </c>
      <c r="G14" s="194">
        <f>INDEX(AnnBS!$A$200:$O$500,$A14,COLUMN()-COLUMN($A14))</f>
        <v>365725</v>
      </c>
      <c r="H14" s="196"/>
      <c r="I14" s="355">
        <f>G14</f>
        <v>365725</v>
      </c>
      <c r="J14" s="355">
        <f>F14</f>
        <v>338516</v>
      </c>
      <c r="K14" s="355">
        <f>E14</f>
        <v>323888</v>
      </c>
      <c r="L14" s="355">
        <f>D14</f>
        <v>351002</v>
      </c>
      <c r="M14" s="355">
        <f>C14</f>
        <v>352755</v>
      </c>
    </row>
    <row r="15" spans="1:14" x14ac:dyDescent="0.35">
      <c r="B15" s="185" t="s">
        <v>783</v>
      </c>
      <c r="C15" s="407">
        <f ca="1">AnnBS!J325</f>
        <v>0</v>
      </c>
      <c r="D15" s="408"/>
      <c r="G15" s="239" t="str">
        <f>IF(SUM(G9:G14)=0,"Data missing","")</f>
        <v/>
      </c>
      <c r="H15" s="196"/>
      <c r="I15" s="276">
        <f>IF(ISERROR(I13),I14,I13)</f>
        <v>131339</v>
      </c>
      <c r="J15" s="276">
        <f>IF(ISERROR(J13),J14,J13)</f>
        <v>162819</v>
      </c>
      <c r="K15" s="276">
        <f>IF(ISERROR(K13),K14,K13)</f>
        <v>143713</v>
      </c>
      <c r="L15" s="276">
        <f>IF(ISERROR(L13),L14,L13)</f>
        <v>134836</v>
      </c>
      <c r="M15" s="276">
        <f>IF(ISERROR(M13),M14,M13)</f>
        <v>135405</v>
      </c>
      <c r="N15" s="185" t="s">
        <v>193</v>
      </c>
    </row>
    <row r="16" spans="1:14" x14ac:dyDescent="0.35">
      <c r="C16" s="194"/>
      <c r="G16" s="194"/>
      <c r="H16" s="196"/>
      <c r="I16" s="198" t="e">
        <f>I9*365/G40</f>
        <v>#VALUE!</v>
      </c>
      <c r="J16" s="198">
        <f>J9*365/F40</f>
        <v>62.947194036032307</v>
      </c>
      <c r="K16" s="198">
        <f>K9*365/E40</f>
        <v>52.531863291489543</v>
      </c>
      <c r="L16" s="198">
        <f>L9*365/D40</f>
        <v>68.483288709177998</v>
      </c>
      <c r="M16" s="198">
        <f>M9*365/C40</f>
        <v>60.795917084225174</v>
      </c>
      <c r="N16" s="199" t="s">
        <v>215</v>
      </c>
    </row>
    <row r="17" spans="1:15" x14ac:dyDescent="0.35">
      <c r="B17" s="185" t="s">
        <v>239</v>
      </c>
      <c r="C17" s="200">
        <f ca="1">C4</f>
        <v>44834</v>
      </c>
      <c r="E17" s="200"/>
      <c r="F17" s="194"/>
      <c r="G17" s="194"/>
      <c r="H17" s="196"/>
    </row>
    <row r="18" spans="1:15" x14ac:dyDescent="0.35">
      <c r="B18" s="197" t="str">
        <f>IF(C19=0,"Caution--Some data for this company are not available.","")</f>
        <v/>
      </c>
      <c r="G18" s="194"/>
      <c r="H18" s="196"/>
      <c r="J18" s="201">
        <f>J14/I14-1</f>
        <v>-7.4397429762799949E-2</v>
      </c>
      <c r="K18" s="201">
        <f>K14/J14-1</f>
        <v>-4.3212137683300011E-2</v>
      </c>
      <c r="L18" s="201">
        <f>L14/K14-1</f>
        <v>8.3714123400681739E-2</v>
      </c>
      <c r="M18" s="201">
        <f>M14/L14-1</f>
        <v>4.994273536902849E-3</v>
      </c>
      <c r="N18" s="202" t="s">
        <v>186</v>
      </c>
    </row>
    <row r="19" spans="1:15" x14ac:dyDescent="0.35">
      <c r="B19" s="235" t="str">
        <f>IF(C19="na","Last year Balance Sheet data has not yet reported.","")</f>
        <v/>
      </c>
      <c r="C19" s="281">
        <f>M7</f>
        <v>48304</v>
      </c>
      <c r="D19" s="185" t="s">
        <v>284</v>
      </c>
      <c r="G19" s="194"/>
      <c r="H19" s="196"/>
      <c r="I19" s="203" t="e">
        <f>I49/I14</f>
        <v>#VALUE!</v>
      </c>
      <c r="J19" s="203">
        <f>J49/J14</f>
        <v>0.17585874818324687</v>
      </c>
      <c r="K19" s="203">
        <f>K49/K14</f>
        <v>0.17060218347082942</v>
      </c>
      <c r="L19" s="203">
        <f>L49/L14</f>
        <v>0.16356317058022463</v>
      </c>
      <c r="M19" s="203">
        <f>M49/M14</f>
        <v>0.26840158183441765</v>
      </c>
      <c r="N19" s="204" t="s">
        <v>162</v>
      </c>
    </row>
    <row r="20" spans="1:15" x14ac:dyDescent="0.35">
      <c r="B20" s="185" t="s">
        <v>782</v>
      </c>
      <c r="G20" s="194"/>
      <c r="H20" s="196"/>
      <c r="N20" s="185" t="s">
        <v>163</v>
      </c>
    </row>
    <row r="21" spans="1:15" x14ac:dyDescent="0.35">
      <c r="G21" s="194"/>
      <c r="H21" s="196"/>
      <c r="I21" s="205" t="e">
        <f>I49/I35</f>
        <v>#VALUE!</v>
      </c>
      <c r="J21" s="205">
        <f>J49/J35</f>
        <v>0.65788833878525332</v>
      </c>
      <c r="K21" s="205">
        <f>K49/K35</f>
        <v>0.84568175209293073</v>
      </c>
      <c r="L21" s="205">
        <f>L49/L35</f>
        <v>0.90998573466476462</v>
      </c>
      <c r="M21" s="205">
        <f>M49/M35</f>
        <v>1.8684875276286708</v>
      </c>
      <c r="N21" s="204" t="s">
        <v>165</v>
      </c>
    </row>
    <row r="22" spans="1:15" x14ac:dyDescent="0.35">
      <c r="A22" s="185">
        <f>MATCH(B22,AnnBS!A$200:A$415,0)</f>
        <v>83</v>
      </c>
      <c r="B22" s="185" t="s">
        <v>480</v>
      </c>
      <c r="C22" s="194">
        <f>INDEX(AnnBS!$A$200:$O$500,$A22,COLUMN()-COLUMN($A22))</f>
        <v>42117</v>
      </c>
      <c r="D22" s="194">
        <f>INDEX(AnnBS!$A$200:$O$500,$A22,COLUMN()-COLUMN($A22))</f>
        <v>39440</v>
      </c>
      <c r="E22" s="194">
        <f>INDEX(AnnBS!$A$200:$O$500,$A22,COLUMN()-COLUMN($A22))</f>
        <v>36766</v>
      </c>
      <c r="F22" s="194">
        <f>INDEX(AnnBS!$A$200:$O$500,$A22,COLUMN()-COLUMN($A22))</f>
        <v>37378</v>
      </c>
      <c r="G22" s="194">
        <f>INDEX(AnnBS!$A$200:$O$500,$A22,COLUMN()-COLUMN($A22))</f>
        <v>41304</v>
      </c>
      <c r="H22" s="196"/>
      <c r="I22" s="355">
        <f>G22</f>
        <v>41304</v>
      </c>
      <c r="J22" s="355">
        <f>F22</f>
        <v>37378</v>
      </c>
      <c r="K22" s="355">
        <f>E22</f>
        <v>36766</v>
      </c>
      <c r="L22" s="355">
        <f>D22</f>
        <v>39440</v>
      </c>
      <c r="M22" s="355">
        <f>C22</f>
        <v>42117</v>
      </c>
    </row>
    <row r="23" spans="1:15" x14ac:dyDescent="0.35">
      <c r="A23" s="185">
        <f>MATCH(B23,AnnBS!A$200:A$415,0)</f>
        <v>89</v>
      </c>
      <c r="B23" s="185" t="s">
        <v>130</v>
      </c>
      <c r="C23" s="194">
        <f>INDEX(AnnBS!$A$200:$O$500,$A23,COLUMN()-COLUMN($A23))</f>
        <v>352755</v>
      </c>
      <c r="D23" s="194">
        <f>INDEX(AnnBS!$A$200:$O$500,$A23,COLUMN()-COLUMN($A23))</f>
        <v>351002</v>
      </c>
      <c r="E23" s="194">
        <f>INDEX(AnnBS!$A$200:$O$500,$A23,COLUMN()-COLUMN($A23))</f>
        <v>323888</v>
      </c>
      <c r="F23" s="194">
        <f>INDEX(AnnBS!$A$200:$O$500,$A23,COLUMN()-COLUMN($A23))</f>
        <v>338516</v>
      </c>
      <c r="G23" s="194">
        <f>INDEX(AnnBS!$A$200:$O$500,$A23,COLUMN()-COLUMN($A23))</f>
        <v>365725</v>
      </c>
      <c r="I23" s="355">
        <f>G23</f>
        <v>365725</v>
      </c>
      <c r="J23" s="355">
        <f>F23</f>
        <v>338516</v>
      </c>
      <c r="K23" s="355">
        <f>E23</f>
        <v>323888</v>
      </c>
      <c r="L23" s="355">
        <f>D23</f>
        <v>351002</v>
      </c>
      <c r="M23" s="355">
        <f>C23</f>
        <v>352755</v>
      </c>
    </row>
    <row r="24" spans="1:15" x14ac:dyDescent="0.35">
      <c r="A24" s="185">
        <f>MATCH(B24,AnnBS!A$200:A$415,0)</f>
        <v>92</v>
      </c>
      <c r="B24" s="185" t="s">
        <v>488</v>
      </c>
      <c r="C24" s="194">
        <f>INDEX(AnnBS!$A$200:$O$500,$A24,COLUMN()-COLUMN($A24))</f>
        <v>64115</v>
      </c>
      <c r="D24" s="194">
        <f>INDEX(AnnBS!$A$200:$O$500,$A24,COLUMN()-COLUMN($A24))</f>
        <v>54763</v>
      </c>
      <c r="E24" s="194">
        <f>INDEX(AnnBS!$A$200:$O$500,$A24,COLUMN()-COLUMN($A24))</f>
        <v>42296</v>
      </c>
      <c r="F24" s="194">
        <f>INDEX(AnnBS!$A$200:$O$500,$A24,COLUMN()-COLUMN($A24))</f>
        <v>46236</v>
      </c>
      <c r="G24" s="194">
        <f>INDEX(AnnBS!$A$200:$O$500,$A24,COLUMN()-COLUMN($A24))</f>
        <v>55888</v>
      </c>
      <c r="H24" s="196"/>
      <c r="I24" s="355">
        <f>G24</f>
        <v>55888</v>
      </c>
      <c r="J24" s="355">
        <f>F24</f>
        <v>46236</v>
      </c>
      <c r="K24" s="355">
        <f>E24</f>
        <v>42296</v>
      </c>
      <c r="L24" s="355">
        <f>D24</f>
        <v>54763</v>
      </c>
      <c r="M24" s="355">
        <f>C24</f>
        <v>64115</v>
      </c>
    </row>
    <row r="25" spans="1:15" x14ac:dyDescent="0.35">
      <c r="A25" s="185">
        <f>MATCH(B25,AnnBS!A$200:A$415,0)</f>
        <v>98</v>
      </c>
      <c r="B25" s="185" t="s">
        <v>50</v>
      </c>
      <c r="C25" s="194">
        <f>INDEX(AnnBS!$A$200:$O$500,$A25,COLUMN()-COLUMN($A25))</f>
        <v>153982</v>
      </c>
      <c r="D25" s="194">
        <f>INDEX(AnnBS!$A$200:$O$500,$A25,COLUMN()-COLUMN($A25))</f>
        <v>125481</v>
      </c>
      <c r="E25" s="194">
        <f>INDEX(AnnBS!$A$200:$O$500,$A25,COLUMN()-COLUMN($A25))</f>
        <v>105392</v>
      </c>
      <c r="F25" s="194">
        <f>INDEX(AnnBS!$A$200:$O$500,$A25,COLUMN()-COLUMN($A25))</f>
        <v>105718</v>
      </c>
      <c r="G25" s="194">
        <f>INDEX(AnnBS!$A$200:$O$500,$A25,COLUMN()-COLUMN($A25))</f>
        <v>116866</v>
      </c>
      <c r="I25" s="355">
        <f>G25</f>
        <v>116866</v>
      </c>
      <c r="J25" s="355">
        <f>F25</f>
        <v>105718</v>
      </c>
      <c r="K25" s="355">
        <f>E25</f>
        <v>105392</v>
      </c>
      <c r="L25" s="355">
        <f>D25</f>
        <v>125481</v>
      </c>
      <c r="M25" s="355">
        <f>C25</f>
        <v>153982</v>
      </c>
    </row>
    <row r="26" spans="1:15" x14ac:dyDescent="0.35">
      <c r="A26" s="185">
        <f>MATCH(B26,AnnBS!A$200:A$415,0)</f>
        <v>106</v>
      </c>
      <c r="B26" s="185" t="s">
        <v>131</v>
      </c>
      <c r="C26" s="194">
        <f>INDEX(AnnBS!$A$200:$O$500,$A26,COLUMN()-COLUMN($A26))</f>
        <v>302083</v>
      </c>
      <c r="D26" s="194">
        <f>INDEX(AnnBS!$A$200:$O$500,$A26,COLUMN()-COLUMN($A26))</f>
        <v>287912</v>
      </c>
      <c r="E26" s="194">
        <f>INDEX(AnnBS!$A$200:$O$500,$A26,COLUMN()-COLUMN($A26))</f>
        <v>258549</v>
      </c>
      <c r="F26" s="194">
        <f>INDEX(AnnBS!$A$200:$O$500,$A26,COLUMN()-COLUMN($A26))</f>
        <v>248028</v>
      </c>
      <c r="G26" s="194">
        <f>INDEX(AnnBS!$A$200:$O$500,$A26,COLUMN()-COLUMN($A26))</f>
        <v>258578</v>
      </c>
      <c r="I26" s="355">
        <f>G26</f>
        <v>258578</v>
      </c>
      <c r="J26" s="355">
        <f>F26</f>
        <v>248028</v>
      </c>
      <c r="K26" s="355">
        <f>E26</f>
        <v>258549</v>
      </c>
      <c r="L26" s="355">
        <f>D26</f>
        <v>287912</v>
      </c>
      <c r="M26" s="355">
        <f>C26</f>
        <v>302083</v>
      </c>
      <c r="N26" s="199" t="s">
        <v>131</v>
      </c>
    </row>
    <row r="27" spans="1:15" x14ac:dyDescent="0.35">
      <c r="C27" s="194"/>
      <c r="D27" s="194"/>
      <c r="E27" s="194"/>
      <c r="F27" s="194"/>
      <c r="G27" s="194"/>
      <c r="H27" s="196"/>
      <c r="I27" s="206" t="e">
        <f>I40/I10</f>
        <v>#VALUE!</v>
      </c>
      <c r="J27" s="206">
        <f>J40/J10</f>
        <v>12.936921578178275</v>
      </c>
      <c r="K27" s="206">
        <f>K40/K10</f>
        <v>12.81329721743413</v>
      </c>
      <c r="L27" s="206">
        <f>L40/L10</f>
        <v>8.3439209726443764</v>
      </c>
      <c r="M27" s="206">
        <f>M40/M10</f>
        <v>14.792438334007278</v>
      </c>
      <c r="N27" s="204" t="s">
        <v>145</v>
      </c>
      <c r="O27" s="202"/>
    </row>
    <row r="28" spans="1:15" x14ac:dyDescent="0.35">
      <c r="A28" s="185">
        <f>MATCH(B28,AnnBS!A$200:A$415,0)</f>
        <v>107</v>
      </c>
      <c r="B28" s="185" t="s">
        <v>499</v>
      </c>
      <c r="C28" s="194">
        <f>INDEX(AnnBS!$A$200:$O$500,$A28,COLUMN()-COLUMN($A28))</f>
        <v>44834</v>
      </c>
      <c r="D28" s="194">
        <f>INDEX(AnnBS!$A$200:$O$500,$A28,COLUMN()-COLUMN($A28))</f>
        <v>44469</v>
      </c>
      <c r="E28" s="194">
        <f>INDEX(AnnBS!$A$200:$O$500,$A28,COLUMN()-COLUMN($A28))</f>
        <v>44104</v>
      </c>
      <c r="F28" s="194">
        <f>INDEX(AnnBS!$A$200:$O$500,$A28,COLUMN()-COLUMN($A28))</f>
        <v>43738</v>
      </c>
      <c r="G28" s="194">
        <f>INDEX(AnnBS!$A$200:$O$500,$A28,COLUMN()-COLUMN($A28))</f>
        <v>43373</v>
      </c>
      <c r="H28" s="196"/>
      <c r="I28" s="206"/>
      <c r="J28" s="206"/>
      <c r="K28" s="206"/>
      <c r="L28" s="206"/>
      <c r="M28" s="206"/>
      <c r="N28" s="185" t="s">
        <v>146</v>
      </c>
      <c r="O28" s="202"/>
    </row>
    <row r="29" spans="1:15" x14ac:dyDescent="0.35">
      <c r="B29" s="221"/>
      <c r="C29" s="194"/>
      <c r="D29" s="194"/>
      <c r="E29" s="194"/>
      <c r="F29" s="194"/>
      <c r="G29" s="194"/>
      <c r="I29" s="236"/>
      <c r="J29" s="236"/>
      <c r="K29" s="236"/>
      <c r="L29" s="236"/>
      <c r="M29" s="236"/>
      <c r="N29" s="282">
        <f>M30/M35</f>
        <v>1.9529325860435744</v>
      </c>
      <c r="O29" s="202" t="s">
        <v>248</v>
      </c>
    </row>
    <row r="30" spans="1:15" x14ac:dyDescent="0.35">
      <c r="A30" s="185">
        <f>MATCH(B30,AnnBS!A$200:A$415,0)</f>
        <v>102</v>
      </c>
      <c r="B30" s="185" t="s">
        <v>495</v>
      </c>
      <c r="C30" s="194">
        <f>INDEX(AnnBS!$A$200:$O$500,$A30,COLUMN()-COLUMN($A30))</f>
        <v>98959</v>
      </c>
      <c r="D30" s="194">
        <f>INDEX(AnnBS!$A$200:$O$500,$A30,COLUMN()-COLUMN($A30))</f>
        <v>109106</v>
      </c>
      <c r="E30" s="194">
        <f>INDEX(AnnBS!$A$200:$O$500,$A30,COLUMN()-COLUMN($A30))</f>
        <v>98667</v>
      </c>
      <c r="F30" s="194">
        <f>INDEX(AnnBS!$A$200:$O$500,$A30,COLUMN()-COLUMN($A30))</f>
        <v>91807</v>
      </c>
      <c r="G30" s="194">
        <f>INDEX(AnnBS!$A$200:$O$500,$A30,COLUMN()-COLUMN($A30))</f>
        <v>93735</v>
      </c>
      <c r="H30" s="196"/>
      <c r="I30" s="236">
        <f>G30</f>
        <v>93735</v>
      </c>
      <c r="J30" s="236">
        <f>F30</f>
        <v>91807</v>
      </c>
      <c r="K30" s="236">
        <f>E30</f>
        <v>98667</v>
      </c>
      <c r="L30" s="236">
        <f>D30</f>
        <v>109106</v>
      </c>
      <c r="M30" s="236">
        <f>C30</f>
        <v>98959</v>
      </c>
      <c r="N30" s="185" t="s">
        <v>556</v>
      </c>
    </row>
    <row r="31" spans="1:15" x14ac:dyDescent="0.35">
      <c r="C31" s="194"/>
      <c r="D31" s="194"/>
      <c r="E31" s="194"/>
      <c r="F31" s="194"/>
      <c r="G31" s="194"/>
      <c r="I31" s="203" t="e">
        <f>I68/I39</f>
        <v>#VALUE!</v>
      </c>
      <c r="J31" s="203">
        <f>J68/J39</f>
        <v>-5.0125190609762983E-2</v>
      </c>
      <c r="K31" s="203">
        <f>K68/K39</f>
        <v>-4.033838892433525E-2</v>
      </c>
      <c r="L31" s="203">
        <f>L68/L39</f>
        <v>-2.6625138881299748E-2</v>
      </c>
      <c r="M31" s="203">
        <f>M68/M39</f>
        <v>-3.0302036264033657E-2</v>
      </c>
      <c r="N31" s="204" t="s">
        <v>167</v>
      </c>
      <c r="O31" s="202"/>
    </row>
    <row r="32" spans="1:15" x14ac:dyDescent="0.35">
      <c r="A32" s="185">
        <f>MATCH(B32,AnnBS!A$200:A$415,0)</f>
        <v>117</v>
      </c>
      <c r="B32" s="185" t="s">
        <v>321</v>
      </c>
      <c r="C32" s="194">
        <f>INDEX(AnnBS!$A$200:$O$500,$A32,COLUMN()-COLUMN($A32))</f>
        <v>15908.1</v>
      </c>
      <c r="D32" s="194">
        <f>INDEX(AnnBS!$A$200:$O$500,$A32,COLUMN()-COLUMN($A32))</f>
        <v>16406.400000000001</v>
      </c>
      <c r="E32" s="194">
        <f>INDEX(AnnBS!$A$200:$O$500,$A32,COLUMN()-COLUMN($A32))</f>
        <v>17001.8</v>
      </c>
      <c r="F32" s="194">
        <f>INDEX(AnnBS!$A$200:$O$500,$A32,COLUMN()-COLUMN($A32))</f>
        <v>17773</v>
      </c>
      <c r="G32" s="194">
        <f>INDEX(AnnBS!$A$200:$O$500,$A32,COLUMN()-COLUMN($A32))</f>
        <v>18981.599999999999</v>
      </c>
      <c r="H32" s="196"/>
      <c r="I32" s="355">
        <f>G32</f>
        <v>18981.599999999999</v>
      </c>
      <c r="J32" s="355">
        <f>F32</f>
        <v>17773</v>
      </c>
      <c r="K32" s="355">
        <f>E32</f>
        <v>17001.8</v>
      </c>
      <c r="L32" s="355">
        <f>D32</f>
        <v>16406.400000000001</v>
      </c>
      <c r="M32" s="355">
        <f>C32</f>
        <v>15908.1</v>
      </c>
      <c r="N32" s="284" t="s">
        <v>250</v>
      </c>
    </row>
    <row r="33" spans="1:14" x14ac:dyDescent="0.35">
      <c r="C33" s="194"/>
      <c r="D33" s="194"/>
      <c r="E33" s="194"/>
      <c r="F33" s="194"/>
      <c r="G33" s="194"/>
      <c r="H33" s="196"/>
      <c r="I33" s="206">
        <f>IF(ISERROR(I13),I14/I35,I13/I25)</f>
        <v>1.1238426916297297</v>
      </c>
      <c r="J33" s="206">
        <f>IF(ISERROR(J13),J14/J35,J13/J25)</f>
        <v>1.540125617208044</v>
      </c>
      <c r="K33" s="206">
        <f>IF(ISERROR(K13),K14/K35,K13/K25)</f>
        <v>1.3636044481554577</v>
      </c>
      <c r="L33" s="206">
        <f>IF(ISERROR(L13),L14/L35,L13/L25)</f>
        <v>1.0745531195957954</v>
      </c>
      <c r="M33" s="206">
        <f>IF(ISERROR(M13),M14/M35,M13/M25)</f>
        <v>0.87935602862672257</v>
      </c>
      <c r="N33" s="204" t="s">
        <v>156</v>
      </c>
    </row>
    <row r="34" spans="1:14" x14ac:dyDescent="0.35">
      <c r="B34" s="217"/>
      <c r="C34" s="194"/>
      <c r="D34" s="194"/>
      <c r="E34" s="194"/>
      <c r="F34" s="194"/>
      <c r="G34" s="194"/>
      <c r="H34" s="196"/>
      <c r="I34" s="206"/>
      <c r="N34" s="185" t="s">
        <v>157</v>
      </c>
    </row>
    <row r="35" spans="1:14" x14ac:dyDescent="0.35">
      <c r="A35" s="185">
        <f>MATCH(B35,AnnBS!A$200:A$415,0)</f>
        <v>114</v>
      </c>
      <c r="B35" s="185" t="s">
        <v>503</v>
      </c>
      <c r="C35" s="194">
        <f>INDEX(AnnBS!$A$200:$O$500,$A35,COLUMN()-COLUMN($A35))</f>
        <v>50672</v>
      </c>
      <c r="D35" s="194">
        <f>INDEX(AnnBS!$A$200:$O$500,$A35,COLUMN()-COLUMN($A35))</f>
        <v>63090</v>
      </c>
      <c r="E35" s="194">
        <f>INDEX(AnnBS!$A$200:$O$500,$A35,COLUMN()-COLUMN($A35))</f>
        <v>65339</v>
      </c>
      <c r="F35" s="194">
        <f>INDEX(AnnBS!$A$200:$O$500,$A35,COLUMN()-COLUMN($A35))</f>
        <v>90488</v>
      </c>
      <c r="G35" s="194">
        <f>INDEX(AnnBS!$A$200:$O$500,$A35,COLUMN()-COLUMN($A35))</f>
        <v>107147</v>
      </c>
      <c r="I35" s="355">
        <f>G35</f>
        <v>107147</v>
      </c>
      <c r="J35" s="355">
        <f>F35</f>
        <v>90488</v>
      </c>
      <c r="K35" s="355">
        <f>E35</f>
        <v>65339</v>
      </c>
      <c r="L35" s="355">
        <f>D35</f>
        <v>63090</v>
      </c>
      <c r="M35" s="355">
        <f>C35</f>
        <v>50672</v>
      </c>
    </row>
    <row r="36" spans="1:14" x14ac:dyDescent="0.35">
      <c r="C36" s="198"/>
      <c r="D36" s="198"/>
      <c r="E36" s="198"/>
      <c r="F36" s="198"/>
      <c r="G36" s="198"/>
      <c r="H36" s="196"/>
      <c r="I36" s="206">
        <f>IF(ISERROR(I13),(I15-I10)/I35,(I13-I10)/I25)</f>
        <v>1.0899919565998666</v>
      </c>
      <c r="J36" s="206">
        <f>IF(ISERROR(J13),(J15-J10)/J35,(J13-J10)/J25)</f>
        <v>1.501286441287198</v>
      </c>
      <c r="K36" s="206">
        <f>IF(ISERROR(K13),(K15-K10)/K35,(K13-K10)/K25)</f>
        <v>1.325072111735236</v>
      </c>
      <c r="L36" s="206">
        <f>IF(ISERROR(L13),(L15-L10)/L35,(L13-L10)/L25)</f>
        <v>1.0221149018576519</v>
      </c>
      <c r="M36" s="206">
        <f>IF(ISERROR(M13),(M15-M10)/M35,(M13-M10)/M25)</f>
        <v>0.84723539114961488</v>
      </c>
      <c r="N36" s="204" t="s">
        <v>154</v>
      </c>
    </row>
    <row r="37" spans="1:14" x14ac:dyDescent="0.35">
      <c r="H37" s="196"/>
      <c r="N37" s="185" t="s">
        <v>155</v>
      </c>
    </row>
    <row r="38" spans="1:14" x14ac:dyDescent="0.35">
      <c r="C38" s="351" t="str">
        <f>Analysis!C4</f>
        <v>(Less than 1 Billion in sales)</v>
      </c>
      <c r="D38" s="351"/>
      <c r="H38" s="196"/>
      <c r="I38" s="205" t="e">
        <f>I49/(I35+I29)</f>
        <v>#VALUE!</v>
      </c>
      <c r="J38" s="205">
        <f>J49/(J35+J29)</f>
        <v>0.65788833878525332</v>
      </c>
      <c r="K38" s="205">
        <f>K49/(K35+K29)</f>
        <v>0.84568175209293073</v>
      </c>
      <c r="L38" s="205">
        <f>L49/(L35+L29)</f>
        <v>0.90998573466476462</v>
      </c>
      <c r="M38" s="205">
        <f>M49/(M35+M29)</f>
        <v>1.8684875276286708</v>
      </c>
      <c r="N38" s="204" t="s">
        <v>176</v>
      </c>
    </row>
    <row r="39" spans="1:14" x14ac:dyDescent="0.35">
      <c r="B39" s="192" t="s">
        <v>147</v>
      </c>
      <c r="C39" s="207"/>
      <c r="D39" s="207"/>
      <c r="E39" s="207"/>
      <c r="F39" s="207"/>
      <c r="G39" s="207"/>
      <c r="H39" s="196"/>
      <c r="I39" s="208" t="str">
        <f>G40</f>
        <v>NA</v>
      </c>
      <c r="J39" s="208">
        <f>F40</f>
        <v>265595</v>
      </c>
      <c r="K39" s="208">
        <f>E40</f>
        <v>260174</v>
      </c>
      <c r="L39" s="208">
        <f>D40</f>
        <v>274515</v>
      </c>
      <c r="M39" s="208">
        <f>C40</f>
        <v>365817</v>
      </c>
      <c r="N39" s="209" t="s">
        <v>150</v>
      </c>
    </row>
    <row r="40" spans="1:14" x14ac:dyDescent="0.35">
      <c r="A40" s="185">
        <f>MATCH(B40,Income!A$200:A$415,0)</f>
        <v>76</v>
      </c>
      <c r="B40" s="185" t="s">
        <v>438</v>
      </c>
      <c r="C40" s="194">
        <f>INDEX(Income!$A$200:$AA$500,$A40,COLUMN()-COLUMN($A40))</f>
        <v>365817</v>
      </c>
      <c r="D40" s="194">
        <f>INDEX(Income!$A$200:$AA$500,$A40,COLUMN()-COLUMN($A40))</f>
        <v>274515</v>
      </c>
      <c r="E40" s="194">
        <f>INDEX(Income!$A$200:$AA$500,$A40,COLUMN()-COLUMN($A40))</f>
        <v>260174</v>
      </c>
      <c r="F40" s="194">
        <f>INDEX(Income!$A$200:$AA$500,$A40,COLUMN()-COLUMN($A40))</f>
        <v>265595</v>
      </c>
      <c r="G40" s="194" t="str">
        <f>INDEX(Income!$A$200:$AA$500,$A40,COLUMN()-COLUMN($A40))</f>
        <v>NA</v>
      </c>
      <c r="H40" s="196"/>
      <c r="I40" s="236" t="e">
        <f>I39/5</f>
        <v>#VALUE!</v>
      </c>
      <c r="J40" s="236">
        <f t="shared" ref="J40:M40" si="2">J39/5</f>
        <v>53119</v>
      </c>
      <c r="K40" s="236">
        <f t="shared" si="2"/>
        <v>52034.8</v>
      </c>
      <c r="L40" s="236">
        <f t="shared" si="2"/>
        <v>54903</v>
      </c>
      <c r="M40" s="236">
        <f t="shared" si="2"/>
        <v>73163.399999999994</v>
      </c>
      <c r="N40" s="204" t="s">
        <v>143</v>
      </c>
    </row>
    <row r="41" spans="1:14" x14ac:dyDescent="0.35">
      <c r="C41" s="194"/>
      <c r="D41" s="194"/>
      <c r="E41" s="194"/>
      <c r="F41" s="194"/>
      <c r="G41" s="194"/>
      <c r="H41" s="196"/>
      <c r="I41" s="236"/>
      <c r="J41" s="201" t="e">
        <f>J40/I40-1</f>
        <v>#VALUE!</v>
      </c>
      <c r="K41" s="201">
        <f>K40/J40-1</f>
        <v>-2.04107758052674E-2</v>
      </c>
      <c r="L41" s="201">
        <f>L40/K40-1</f>
        <v>5.5120803769784787E-2</v>
      </c>
      <c r="M41" s="201">
        <f>M40/L40-1</f>
        <v>0.33259384733074682</v>
      </c>
      <c r="N41" s="204" t="s">
        <v>185</v>
      </c>
    </row>
    <row r="42" spans="1:14" x14ac:dyDescent="0.35">
      <c r="A42" s="185">
        <f>MATCH(B42,Income!A$200:A$415,0)</f>
        <v>77</v>
      </c>
      <c r="B42" s="185" t="s">
        <v>439</v>
      </c>
      <c r="C42" s="194">
        <f>INDEX(Income!$A$200:$AA$500,$A42,COLUMN()-COLUMN($A42))</f>
        <v>212981</v>
      </c>
      <c r="D42" s="194">
        <f>INDEX(Income!$A$200:$AA$500,$A42,COLUMN()-COLUMN($A42))</f>
        <v>169559</v>
      </c>
      <c r="E42" s="194">
        <f>INDEX(Income!$A$200:$AA$500,$A42,COLUMN()-COLUMN($A42))</f>
        <v>161782</v>
      </c>
      <c r="F42" s="194">
        <f>INDEX(Income!$A$200:$AA$500,$A42,COLUMN()-COLUMN($A42))</f>
        <v>163756</v>
      </c>
      <c r="G42" s="194" t="str">
        <f>INDEX(Income!$A$200:$AA$500,$A42,COLUMN()-COLUMN($A42))</f>
        <v>NA</v>
      </c>
      <c r="H42" s="196"/>
      <c r="I42" s="355" t="str">
        <f>G42</f>
        <v>NA</v>
      </c>
      <c r="J42" s="355">
        <f>F42</f>
        <v>163756</v>
      </c>
      <c r="K42" s="355">
        <f>E42</f>
        <v>161782</v>
      </c>
      <c r="L42" s="355">
        <f>D42</f>
        <v>169559</v>
      </c>
      <c r="M42" s="355">
        <f>C42</f>
        <v>212981</v>
      </c>
    </row>
    <row r="43" spans="1:14" x14ac:dyDescent="0.35">
      <c r="B43" s="221"/>
      <c r="C43" s="255"/>
      <c r="D43" s="194"/>
      <c r="E43" s="194"/>
      <c r="F43" s="194"/>
      <c r="G43" s="194"/>
      <c r="I43" s="355"/>
      <c r="J43" s="355"/>
      <c r="K43" s="355"/>
      <c r="L43" s="355"/>
      <c r="M43" s="355"/>
    </row>
    <row r="44" spans="1:14" x14ac:dyDescent="0.35">
      <c r="B44" s="221"/>
      <c r="C44" s="255"/>
      <c r="D44" s="194"/>
      <c r="E44" s="194"/>
      <c r="F44" s="194"/>
      <c r="G44" s="194"/>
      <c r="H44" s="196"/>
      <c r="I44" s="206"/>
      <c r="J44" s="206"/>
      <c r="K44" s="206"/>
      <c r="L44" s="206"/>
    </row>
    <row r="45" spans="1:14" x14ac:dyDescent="0.35">
      <c r="A45" s="185">
        <f>MATCH(B45,Income!A$200:A$415,0)</f>
        <v>93</v>
      </c>
      <c r="B45" s="185" t="s">
        <v>445</v>
      </c>
      <c r="C45" s="194">
        <f>INDEX(Income!$A$200:$AA$500,$A45,COLUMN()-COLUMN($A45))</f>
        <v>11284</v>
      </c>
      <c r="D45" s="194">
        <f>INDEX(Income!$A$200:$AA$500,$A45,COLUMN()-COLUMN($A45))</f>
        <v>11056</v>
      </c>
      <c r="E45" s="194">
        <f>INDEX(Income!$A$200:$AA$500,$A45,COLUMN()-COLUMN($A45))</f>
        <v>12547</v>
      </c>
      <c r="F45" s="194">
        <f>INDEX(Income!$A$200:$AA$500,$A45,COLUMN()-COLUMN($A45))</f>
        <v>10903</v>
      </c>
      <c r="G45" s="194" t="str">
        <f>INDEX(Income!$A$200:$AA$500,$A45,COLUMN()-COLUMN($A45))</f>
        <v>NA</v>
      </c>
    </row>
    <row r="46" spans="1:14" x14ac:dyDescent="0.35">
      <c r="C46" s="194"/>
      <c r="D46" s="194"/>
      <c r="E46" s="194"/>
      <c r="F46" s="194"/>
      <c r="G46" s="194"/>
      <c r="I46" s="205" t="e">
        <f>(I39-I42)/I39</f>
        <v>#VALUE!</v>
      </c>
      <c r="J46" s="205">
        <f>(J39-J42)/J39</f>
        <v>0.38343718820007905</v>
      </c>
      <c r="K46" s="205">
        <f>(K39-K42)/K39</f>
        <v>0.37817768109034722</v>
      </c>
      <c r="L46" s="205">
        <f>(L39-L42)/L39</f>
        <v>0.38233247727810865</v>
      </c>
      <c r="M46" s="205">
        <f>(M39-M42)/M39</f>
        <v>0.41779359625167778</v>
      </c>
      <c r="N46" s="204" t="s">
        <v>149</v>
      </c>
    </row>
    <row r="47" spans="1:14" x14ac:dyDescent="0.35">
      <c r="A47" s="185">
        <f>MATCH(B47,Income!A$200:A$415,0)</f>
        <v>80</v>
      </c>
      <c r="B47" s="185" t="s">
        <v>440</v>
      </c>
      <c r="C47" s="194">
        <f>INDEX(Income!$A$200:$AA$500,$A47,COLUMN()-COLUMN($A47))</f>
        <v>108949</v>
      </c>
      <c r="D47" s="194">
        <f>INDEX(Income!$A$200:$AA$500,$A47,COLUMN()-COLUMN($A47))</f>
        <v>66288</v>
      </c>
      <c r="E47" s="194">
        <f>INDEX(Income!$A$200:$AA$500,$A47,COLUMN()-COLUMN($A47))</f>
        <v>63930</v>
      </c>
      <c r="F47" s="194">
        <f>INDEX(Income!$A$200:$AA$500,$A47,COLUMN()-COLUMN($A47))</f>
        <v>70898</v>
      </c>
      <c r="G47" s="194" t="str">
        <f>INDEX(Income!$A$200:$AA$500,$A47,COLUMN()-COLUMN($A47))</f>
        <v>NA</v>
      </c>
      <c r="I47" s="355" t="str">
        <f>G47</f>
        <v>NA</v>
      </c>
      <c r="J47" s="355">
        <f>F47</f>
        <v>70898</v>
      </c>
      <c r="K47" s="355">
        <f>E47</f>
        <v>63930</v>
      </c>
      <c r="L47" s="355">
        <f>D47</f>
        <v>66288</v>
      </c>
      <c r="M47" s="355">
        <f>C47</f>
        <v>108949</v>
      </c>
      <c r="N47" s="185" t="s">
        <v>152</v>
      </c>
    </row>
    <row r="48" spans="1:14" x14ac:dyDescent="0.35">
      <c r="A48" s="185">
        <f>MATCH(B48,Income!A$200:A$415,0)</f>
        <v>83</v>
      </c>
      <c r="B48" s="185" t="s">
        <v>442</v>
      </c>
      <c r="C48" s="194">
        <f>INDEX(Income!$A$200:$AA$500,$A48,COLUMN()-COLUMN($A48))</f>
        <v>109207</v>
      </c>
      <c r="D48" s="194">
        <f>INDEX(Income!$A$200:$AA$500,$A48,COLUMN()-COLUMN($A48))</f>
        <v>67091</v>
      </c>
      <c r="E48" s="194">
        <f>INDEX(Income!$A$200:$AA$500,$A48,COLUMN()-COLUMN($A48))</f>
        <v>65737</v>
      </c>
      <c r="F48" s="194">
        <f>INDEX(Income!$A$200:$AA$500,$A48,COLUMN()-COLUMN($A48))</f>
        <v>72903</v>
      </c>
      <c r="G48" s="194" t="str">
        <f>INDEX(Income!$A$200:$AA$500,$A48,COLUMN()-COLUMN($A48))</f>
        <v>NA</v>
      </c>
      <c r="I48" s="205" t="e">
        <f>I47/I39</f>
        <v>#VALUE!</v>
      </c>
      <c r="J48" s="205">
        <f>J47/J39</f>
        <v>0.26694026619477024</v>
      </c>
      <c r="K48" s="205">
        <f>K47/K39</f>
        <v>0.24572017188496928</v>
      </c>
      <c r="L48" s="205">
        <f>L47/L39</f>
        <v>0.24147314354406862</v>
      </c>
      <c r="M48" s="205">
        <f>M47/M39</f>
        <v>0.29782377527561593</v>
      </c>
      <c r="N48" s="204" t="s">
        <v>169</v>
      </c>
    </row>
    <row r="49" spans="1:16" x14ac:dyDescent="0.35">
      <c r="A49" s="185">
        <f>MATCH(B49,Income!A$200:A$415,0)</f>
        <v>90</v>
      </c>
      <c r="B49" s="185" t="s">
        <v>1025</v>
      </c>
      <c r="C49" s="194">
        <f>INDEX(Income!$A$200:$AA$500,$A49,COLUMN()-COLUMN($A49))</f>
        <v>94680</v>
      </c>
      <c r="D49" s="194">
        <f>INDEX(Income!$A$200:$AA$500,$A49,COLUMN()-COLUMN($A49))</f>
        <v>57411</v>
      </c>
      <c r="E49" s="194">
        <f>INDEX(Income!$A$200:$AA$500,$A49,COLUMN()-COLUMN($A49))</f>
        <v>55256</v>
      </c>
      <c r="F49" s="194">
        <f>INDEX(Income!$A$200:$AA$500,$A49,COLUMN()-COLUMN($A49))</f>
        <v>59531</v>
      </c>
      <c r="G49" s="194" t="str">
        <f>INDEX(Income!$A$200:$AA$500,$A49,COLUMN()-COLUMN($A49))</f>
        <v>NA</v>
      </c>
      <c r="I49" s="355" t="str">
        <f>G49</f>
        <v>NA</v>
      </c>
      <c r="J49" s="355">
        <f>F49</f>
        <v>59531</v>
      </c>
      <c r="K49" s="355">
        <f>E49</f>
        <v>55256</v>
      </c>
      <c r="L49" s="355">
        <f>D49</f>
        <v>57411</v>
      </c>
      <c r="M49" s="355">
        <f>C49</f>
        <v>94680</v>
      </c>
      <c r="N49" s="185" t="s">
        <v>20</v>
      </c>
    </row>
    <row r="50" spans="1:16" x14ac:dyDescent="0.35">
      <c r="C50" s="194"/>
      <c r="D50" s="194"/>
      <c r="E50" s="194"/>
      <c r="F50" s="194"/>
      <c r="G50" s="194"/>
      <c r="I50" s="205" t="e">
        <f>I49/I39</f>
        <v>#VALUE!</v>
      </c>
      <c r="J50" s="205">
        <f>J49/J39</f>
        <v>0.22414202074587247</v>
      </c>
      <c r="K50" s="205">
        <f>K49/K39</f>
        <v>0.21238094505984456</v>
      </c>
      <c r="L50" s="205">
        <f>L49/L39</f>
        <v>0.20913611278072236</v>
      </c>
      <c r="M50" s="205">
        <f>M49/M39</f>
        <v>0.25881793355694238</v>
      </c>
      <c r="N50" s="204" t="s">
        <v>142</v>
      </c>
    </row>
    <row r="51" spans="1:16" x14ac:dyDescent="0.35">
      <c r="B51" s="221"/>
      <c r="C51" s="194"/>
      <c r="D51" s="194"/>
      <c r="E51" s="194"/>
      <c r="F51" s="194"/>
      <c r="G51" s="194"/>
      <c r="N51" s="185" t="s">
        <v>172</v>
      </c>
    </row>
    <row r="52" spans="1:16" x14ac:dyDescent="0.35">
      <c r="C52" s="194"/>
      <c r="D52" s="194"/>
      <c r="E52" s="194"/>
      <c r="F52" s="194"/>
      <c r="G52" s="194"/>
      <c r="M52" s="212" t="e">
        <f>(G48+G67+G59)/(F48+F67+F59)-1</f>
        <v>#VALUE!</v>
      </c>
      <c r="N52" s="283" t="s">
        <v>290</v>
      </c>
      <c r="O52" s="283"/>
      <c r="P52" s="283"/>
    </row>
    <row r="53" spans="1:16" x14ac:dyDescent="0.35">
      <c r="B53" s="374"/>
      <c r="C53" s="375"/>
      <c r="D53" s="375"/>
      <c r="E53" s="375"/>
      <c r="F53" s="375"/>
      <c r="G53" s="375"/>
      <c r="I53" s="353" t="e">
        <f>I54/I32</f>
        <v>#VALUE!</v>
      </c>
      <c r="J53" s="353">
        <f t="shared" ref="J53:M53" si="3">J54/J32</f>
        <v>0.77156360771957466</v>
      </c>
      <c r="K53" s="353">
        <f t="shared" si="3"/>
        <v>0.83050029996823871</v>
      </c>
      <c r="L53" s="353">
        <f t="shared" si="3"/>
        <v>0.85832358104154471</v>
      </c>
      <c r="M53" s="353">
        <f t="shared" si="3"/>
        <v>0.9094737900817822</v>
      </c>
      <c r="N53" s="354" t="s">
        <v>6</v>
      </c>
    </row>
    <row r="54" spans="1:16" x14ac:dyDescent="0.35">
      <c r="B54" s="217"/>
      <c r="C54" s="361"/>
      <c r="D54" s="361"/>
      <c r="E54" s="361"/>
      <c r="F54" s="361"/>
      <c r="G54" s="361"/>
      <c r="I54" s="236" t="e">
        <f>1-G68</f>
        <v>#VALUE!</v>
      </c>
      <c r="J54" s="236">
        <f>1-F68</f>
        <v>13713</v>
      </c>
      <c r="K54" s="236">
        <f>1-E68</f>
        <v>14120</v>
      </c>
      <c r="L54" s="236">
        <f>1-D68</f>
        <v>14082</v>
      </c>
      <c r="M54" s="343">
        <f>1-C68</f>
        <v>14468</v>
      </c>
      <c r="N54" s="199" t="s">
        <v>272</v>
      </c>
      <c r="P54" s="212"/>
    </row>
    <row r="55" spans="1:16" x14ac:dyDescent="0.35">
      <c r="A55" s="185">
        <f>MATCH(B55,Income!A$200:A$415,0)</f>
        <v>82</v>
      </c>
      <c r="B55" s="185" t="s">
        <v>441</v>
      </c>
      <c r="C55" s="194">
        <f>INDEX(Income!$A$200:$AA$500,$A55,COLUMN()-COLUMN($A55))</f>
        <v>0</v>
      </c>
      <c r="D55" s="194">
        <f>INDEX(Income!$A$228:$AA$528,$A55,COLUMN()-COLUMN($A55))</f>
        <v>3936</v>
      </c>
      <c r="E55" s="194">
        <f>INDEX(Income!$A$228:$AA$528,$A55,COLUMN()-COLUMN($A55))</f>
        <v>3624</v>
      </c>
      <c r="F55" s="194">
        <f>INDEX(Income!$A$228:$AA$528,$A55,COLUMN()-COLUMN($A55))</f>
        <v>5129</v>
      </c>
      <c r="G55" s="194">
        <f>INDEX(Income!$A$228:$AA$528,$A55,COLUMN()-COLUMN($A55))</f>
        <v>6611</v>
      </c>
      <c r="I55" s="210"/>
      <c r="J55" s="210"/>
      <c r="K55" s="210"/>
      <c r="L55" s="210"/>
      <c r="M55" s="210"/>
    </row>
    <row r="56" spans="1:16" x14ac:dyDescent="0.35">
      <c r="B56" s="211" t="s">
        <v>234</v>
      </c>
      <c r="C56" s="288">
        <f>IF(C55&lt;0,-C55,C55)</f>
        <v>0</v>
      </c>
      <c r="D56" s="288">
        <f t="shared" ref="D56:G56" si="4">IF(D55&lt;0,-D55,D55)</f>
        <v>3936</v>
      </c>
      <c r="E56" s="288">
        <f t="shared" si="4"/>
        <v>3624</v>
      </c>
      <c r="F56" s="288">
        <f t="shared" si="4"/>
        <v>5129</v>
      </c>
      <c r="G56" s="288">
        <f t="shared" si="4"/>
        <v>6611</v>
      </c>
      <c r="I56" s="353" t="e">
        <f>IF(I53="--","",I53+I69)</f>
        <v>#VALUE!</v>
      </c>
      <c r="J56" s="353">
        <f>IF(J53="--","",J53+J69)</f>
        <v>2.2506048500534503E-2</v>
      </c>
      <c r="K56" s="353">
        <f>IF(K53="--","",K53+K69)</f>
        <v>0.21321271865331903</v>
      </c>
      <c r="L56" s="353">
        <f>IF(L53="--","",L53+L69)</f>
        <v>0.41282670177491709</v>
      </c>
      <c r="M56" s="353">
        <f>IF(M53="--","",M53+M69)</f>
        <v>0.21265895990093098</v>
      </c>
      <c r="N56" s="354" t="s">
        <v>232</v>
      </c>
    </row>
    <row r="57" spans="1:16" x14ac:dyDescent="0.35">
      <c r="N57" s="220">
        <f>IF(C53="--",0,IF(C54="--","None",M64/M54))</f>
        <v>7.190904064141554</v>
      </c>
      <c r="O57" s="185" t="s">
        <v>274</v>
      </c>
    </row>
    <row r="58" spans="1:16" x14ac:dyDescent="0.35">
      <c r="A58" s="185">
        <f>MATCH(B58,Income!A$200:A$415,0)</f>
        <v>98</v>
      </c>
      <c r="B58" s="185" t="s">
        <v>1026</v>
      </c>
      <c r="C58" s="224">
        <f>INDEX(Income!$A$200:$AA$500,$A58,COLUMN()-COLUMN($A58))</f>
        <v>5.61</v>
      </c>
      <c r="D58" s="224">
        <f>INDEX(Income!$A$200:$AA$500,$A58,COLUMN()-COLUMN($A58))</f>
        <v>3.28</v>
      </c>
      <c r="E58" s="224">
        <f>INDEX(Income!$A$200:$AA$500,$A58,COLUMN()-COLUMN($A58))</f>
        <v>2.97</v>
      </c>
      <c r="F58" s="224">
        <f>INDEX(Income!$A$200:$AA$500,$A58,COLUMN()-COLUMN($A58))</f>
        <v>2.98</v>
      </c>
      <c r="G58" s="224" t="str">
        <f>INDEX(Income!$A$200:$AA$500,$A58,COLUMN()-COLUMN($A58))</f>
        <v>NA</v>
      </c>
      <c r="I58" s="210">
        <f>(C58/D58)-1</f>
        <v>0.71036585365853688</v>
      </c>
      <c r="J58" s="210">
        <f>(D58/E58)-1</f>
        <v>0.10437710437710424</v>
      </c>
      <c r="K58" s="210">
        <f>(E58/F58)-1</f>
        <v>-3.3557046979865168E-3</v>
      </c>
      <c r="L58" s="210" t="e">
        <f>(F58/G58)-1</f>
        <v>#VALUE!</v>
      </c>
      <c r="M58" s="210"/>
      <c r="N58" s="210" t="e">
        <f>AVERAGE(I58:L58)</f>
        <v>#VALUE!</v>
      </c>
      <c r="O58" s="185" t="s">
        <v>4</v>
      </c>
    </row>
    <row r="59" spans="1:16" x14ac:dyDescent="0.35">
      <c r="A59" s="185">
        <f>MATCH(B59,Income!A$200:A$415,0)</f>
        <v>84</v>
      </c>
      <c r="B59" s="185" t="s">
        <v>443</v>
      </c>
      <c r="C59" s="194">
        <f>INDEX(Income!$A$200:$AA$500,$A59,COLUMN()-COLUMN($A59))</f>
        <v>14527</v>
      </c>
      <c r="D59" s="194">
        <f>INDEX(Income!$A$200:$AA$500,$A59,COLUMN()-COLUMN($A59))</f>
        <v>9680</v>
      </c>
      <c r="E59" s="194">
        <f>INDEX(Income!$A$200:$AA$500,$A59,COLUMN()-COLUMN($A59))</f>
        <v>10481</v>
      </c>
      <c r="F59" s="194">
        <f>INDEX(Income!$A$200:$AA$500,$A59,COLUMN()-COLUMN($A59))</f>
        <v>13372</v>
      </c>
      <c r="G59" s="194" t="str">
        <f>INDEX(Income!$A$200:$AA$500,$A59,COLUMN()-COLUMN($A59))</f>
        <v>NA</v>
      </c>
    </row>
    <row r="60" spans="1:16" x14ac:dyDescent="0.35">
      <c r="A60" s="185">
        <f>MATCH(B60,Income!A$200:A$415,0)</f>
        <v>77</v>
      </c>
      <c r="B60" s="185" t="s">
        <v>545</v>
      </c>
      <c r="C60" s="194">
        <f>INDEX(Income!$A$200:$AA$500,$A60,COLUMN()-COLUMN($A60))</f>
        <v>212981</v>
      </c>
      <c r="D60" s="194">
        <f>INDEX(Income!$A$200:$AA$500,$A60,COLUMN()-COLUMN($A60))</f>
        <v>169559</v>
      </c>
      <c r="E60" s="194">
        <f>INDEX(Income!$A$200:$AA$500,$A60,COLUMN()-COLUMN($A60))</f>
        <v>161782</v>
      </c>
      <c r="F60" s="194">
        <f>INDEX(Income!$A$200:$AA$500,$A60,COLUMN()-COLUMN($A60))</f>
        <v>163756</v>
      </c>
      <c r="G60" s="194" t="str">
        <f>INDEX(Income!$A$200:$AA$500,$A60,COLUMN()-COLUMN($A60))</f>
        <v>NA</v>
      </c>
      <c r="N60" s="256">
        <f>C71*C32/C40</f>
        <v>0.28439903011615097</v>
      </c>
      <c r="O60" s="283" t="s">
        <v>291</v>
      </c>
      <c r="P60" s="283"/>
    </row>
    <row r="61" spans="1:16" x14ac:dyDescent="0.35">
      <c r="C61" s="194"/>
      <c r="D61" s="194"/>
      <c r="E61" s="194"/>
      <c r="F61" s="194"/>
      <c r="G61" s="194"/>
      <c r="I61" s="210" t="e">
        <f>I64/I49</f>
        <v>#VALUE!</v>
      </c>
      <c r="J61" s="210">
        <f>J64/J49</f>
        <v>1.3007340713241839</v>
      </c>
      <c r="K61" s="210">
        <f>K64/K49</f>
        <v>1.2558093238743304</v>
      </c>
      <c r="L61" s="210">
        <f>IF(L64="--","N/A",L64/L49)</f>
        <v>1.405201093867029</v>
      </c>
      <c r="M61" s="210">
        <f>IF(M64="--","N/A",M64/M49)</f>
        <v>1.0988381918039714</v>
      </c>
      <c r="N61" s="199" t="s">
        <v>182</v>
      </c>
    </row>
    <row r="62" spans="1:16" x14ac:dyDescent="0.35">
      <c r="B62" s="192" t="s">
        <v>133</v>
      </c>
      <c r="C62" s="194"/>
      <c r="D62" s="194"/>
      <c r="E62" s="194"/>
      <c r="F62" s="194"/>
      <c r="G62" s="194"/>
      <c r="M62" s="212">
        <f>(M49-M70)/AVERAGE(L14:M14)</f>
        <v>-1.6980292913605123E-2</v>
      </c>
      <c r="N62" s="185" t="s">
        <v>219</v>
      </c>
    </row>
    <row r="63" spans="1:16" x14ac:dyDescent="0.35">
      <c r="A63" s="185">
        <f>MATCH(B63,CFlow!A$200:A$350,0)</f>
        <v>75</v>
      </c>
      <c r="B63" s="185" t="s">
        <v>547</v>
      </c>
      <c r="C63" s="194">
        <f>INDEX(CFlow!$A$200:$M$500,$A63,COLUMN()-COLUMN($A63))</f>
        <v>94680</v>
      </c>
      <c r="D63" s="194">
        <f>INDEX(CFlow!$A$200:$M$500,$A63,COLUMN()-COLUMN($A63))</f>
        <v>57411</v>
      </c>
      <c r="E63" s="194">
        <f>INDEX(CFlow!$A$200:$M$500,$A63,COLUMN()-COLUMN($A63))</f>
        <v>55256</v>
      </c>
      <c r="F63" s="194">
        <f>INDEX(CFlow!$A$200:$M$500,$A63,COLUMN()-COLUMN($A63))</f>
        <v>59531</v>
      </c>
      <c r="G63" s="194" t="str">
        <f>INDEX(CFlow!$A$200:$M$500,$A63,COLUMN()-COLUMN($A63))</f>
        <v>NA</v>
      </c>
      <c r="I63" s="355" t="str">
        <f>G63</f>
        <v>NA</v>
      </c>
      <c r="J63" s="355">
        <f>F63</f>
        <v>59531</v>
      </c>
      <c r="K63" s="355">
        <f>E63</f>
        <v>55256</v>
      </c>
      <c r="L63" s="355">
        <f>D63</f>
        <v>57411</v>
      </c>
      <c r="M63" s="355">
        <f>C63</f>
        <v>94680</v>
      </c>
      <c r="N63" s="202"/>
    </row>
    <row r="64" spans="1:16" x14ac:dyDescent="0.35">
      <c r="A64" s="185">
        <f>MATCH(B64,CFlow!A$200:A$350,0)</f>
        <v>80</v>
      </c>
      <c r="B64" s="185" t="s">
        <v>549</v>
      </c>
      <c r="C64" s="194">
        <f>INDEX(CFlow!$A$200:$M$500,$A64,COLUMN()-COLUMN($A64))</f>
        <v>104038</v>
      </c>
      <c r="D64" s="194">
        <f>INDEX(CFlow!$A$200:$M$500,$A64,COLUMN()-COLUMN($A64))</f>
        <v>80674</v>
      </c>
      <c r="E64" s="194">
        <f>INDEX(CFlow!$A$200:$M$500,$A64,COLUMN()-COLUMN($A64))</f>
        <v>69391</v>
      </c>
      <c r="F64" s="194">
        <f>INDEX(CFlow!$A$200:$M$500,$A64,COLUMN()-COLUMN($A64))</f>
        <v>77434</v>
      </c>
      <c r="G64" s="194" t="str">
        <f>INDEX(CFlow!$A$200:$M$500,$A64,COLUMN()-COLUMN($A64))</f>
        <v>NA</v>
      </c>
      <c r="I64" s="355" t="str">
        <f>G64</f>
        <v>NA</v>
      </c>
      <c r="J64" s="355">
        <f>F64</f>
        <v>77434</v>
      </c>
      <c r="K64" s="355">
        <f>E64</f>
        <v>69391</v>
      </c>
      <c r="L64" s="355">
        <f>D64</f>
        <v>80674</v>
      </c>
      <c r="M64" s="355">
        <f>C64</f>
        <v>104038</v>
      </c>
      <c r="N64" s="204" t="s">
        <v>153</v>
      </c>
    </row>
    <row r="65" spans="1:17" x14ac:dyDescent="0.35">
      <c r="B65" s="221"/>
      <c r="C65" s="194"/>
      <c r="D65" s="194"/>
      <c r="E65" s="194"/>
      <c r="F65" s="194"/>
      <c r="G65" s="194"/>
      <c r="I65" s="237">
        <f>C64/C32</f>
        <v>6.5399387733293102</v>
      </c>
      <c r="J65" s="237">
        <f t="shared" ref="J65:M65" si="5">D64/D32</f>
        <v>4.9172274234445092</v>
      </c>
      <c r="K65" s="237">
        <f t="shared" si="5"/>
        <v>4.0813913820889551</v>
      </c>
      <c r="L65" s="237">
        <f t="shared" si="5"/>
        <v>4.3568333989759749</v>
      </c>
      <c r="M65" s="237" t="e">
        <f t="shared" si="5"/>
        <v>#VALUE!</v>
      </c>
      <c r="N65" s="204" t="s">
        <v>558</v>
      </c>
    </row>
    <row r="66" spans="1:17" x14ac:dyDescent="0.35">
      <c r="A66" s="185">
        <f>MATCH(B66,CFlow!A$200:A$350,0)</f>
        <v>81</v>
      </c>
      <c r="B66" s="185" t="s">
        <v>550</v>
      </c>
      <c r="C66" s="194">
        <f>INDEX(CFlow!$A$200:$M$500,$A66,COLUMN()-COLUMN($A66))</f>
        <v>-11085</v>
      </c>
      <c r="D66" s="194">
        <f>INDEX(CFlow!$A$200:$M$500,$A66,COLUMN()-COLUMN($A66))</f>
        <v>-7309</v>
      </c>
      <c r="E66" s="194">
        <f>INDEX(CFlow!$A$200:$M$500,$A66,COLUMN()-COLUMN($A66))</f>
        <v>-10495</v>
      </c>
      <c r="F66" s="194">
        <f>INDEX(CFlow!$A$200:$M$500,$A66,COLUMN()-COLUMN($A66))</f>
        <v>-13313</v>
      </c>
      <c r="G66" s="194" t="str">
        <f>INDEX(CFlow!$A$200:$M$500,$A66,COLUMN()-COLUMN($A66))</f>
        <v>NA</v>
      </c>
      <c r="I66" s="224" t="e">
        <f>1-G66</f>
        <v>#VALUE!</v>
      </c>
      <c r="J66" s="224">
        <f>1-F66</f>
        <v>13314</v>
      </c>
      <c r="K66" s="224">
        <f>1-E66</f>
        <v>10496</v>
      </c>
      <c r="L66" s="224">
        <f>1-D66</f>
        <v>7310</v>
      </c>
      <c r="M66" s="223">
        <f>1-C66</f>
        <v>11086</v>
      </c>
      <c r="N66" s="204" t="s">
        <v>550</v>
      </c>
    </row>
    <row r="67" spans="1:17" x14ac:dyDescent="0.35">
      <c r="A67" s="185">
        <f>MATCH(B67,CFlow!A$200:A$350,0)</f>
        <v>76</v>
      </c>
      <c r="B67" s="185" t="s">
        <v>548</v>
      </c>
      <c r="C67" s="194">
        <f>INDEX(CFlow!$A$200:$M$500,$A67,COLUMN()-COLUMN($A67))</f>
        <v>11284</v>
      </c>
      <c r="D67" s="194">
        <f>INDEX(CFlow!$A$200:$M$500,$A67,COLUMN()-COLUMN($A67))</f>
        <v>11056</v>
      </c>
      <c r="E67" s="194">
        <f>INDEX(CFlow!$A$200:$M$500,$A67,COLUMN()-COLUMN($A67))</f>
        <v>12547</v>
      </c>
      <c r="F67" s="194">
        <f>INDEX(CFlow!$A$200:$M$500,$A67,COLUMN()-COLUMN($A67))</f>
        <v>10903</v>
      </c>
      <c r="G67" s="194" t="str">
        <f>INDEX(CFlow!$A$200:$M$500,$A67,COLUMN()-COLUMN($A67))</f>
        <v>NA</v>
      </c>
      <c r="I67" s="212">
        <f>I65/$G$32</f>
        <v>3.4454096458303362E-4</v>
      </c>
      <c r="J67" s="212">
        <f>J65/$G$32</f>
        <v>2.5905231505481677E-4</v>
      </c>
      <c r="K67" s="212">
        <f>K65/$G$32</f>
        <v>2.1501830099090462E-4</v>
      </c>
      <c r="L67" s="212">
        <f>L65/$G$32</f>
        <v>2.2952930200699495E-4</v>
      </c>
      <c r="M67" s="212" t="e">
        <f>M65/$G$32</f>
        <v>#VALUE!</v>
      </c>
      <c r="N67" s="204" t="s">
        <v>289</v>
      </c>
    </row>
    <row r="68" spans="1:17" x14ac:dyDescent="0.35">
      <c r="A68" s="185">
        <f>MATCH(B68,CFlow!A$200:A$350,0)</f>
        <v>91</v>
      </c>
      <c r="B68" s="185" t="s">
        <v>551</v>
      </c>
      <c r="C68" s="194">
        <f>INDEX(CFlow!$A$200:$M$500,$A68,COLUMN()-COLUMN($A68))</f>
        <v>-14467</v>
      </c>
      <c r="D68" s="194">
        <f>INDEX(CFlow!$A$200:$M$500,$A68,COLUMN()-COLUMN($A68))</f>
        <v>-14081</v>
      </c>
      <c r="E68" s="194">
        <f>INDEX(CFlow!$A$200:$M$500,$A68,COLUMN()-COLUMN($A68))</f>
        <v>-14119</v>
      </c>
      <c r="F68" s="194">
        <f>INDEX(CFlow!$A$200:$M$500,$A68,COLUMN()-COLUMN($A68))</f>
        <v>-13712</v>
      </c>
      <c r="G68" s="194" t="str">
        <f>INDEX(CFlow!$A$200:$M$500,$A68,COLUMN()-COLUMN($A68))</f>
        <v>NA</v>
      </c>
      <c r="I68" s="236" t="str">
        <f>G66</f>
        <v>NA</v>
      </c>
      <c r="J68" s="236">
        <f>F66</f>
        <v>-13313</v>
      </c>
      <c r="K68" s="236">
        <f>E66</f>
        <v>-10495</v>
      </c>
      <c r="L68" s="236">
        <f>D66</f>
        <v>-7309</v>
      </c>
      <c r="M68" s="236">
        <f>C66</f>
        <v>-11085</v>
      </c>
      <c r="N68" s="185" t="s">
        <v>129</v>
      </c>
    </row>
    <row r="69" spans="1:17" x14ac:dyDescent="0.35">
      <c r="B69" s="352" t="s">
        <v>308</v>
      </c>
      <c r="C69" s="194">
        <f>1-C68</f>
        <v>14468</v>
      </c>
      <c r="D69" s="194">
        <f t="shared" ref="D69:G69" si="6">1-D68</f>
        <v>14082</v>
      </c>
      <c r="E69" s="194">
        <f t="shared" si="6"/>
        <v>14120</v>
      </c>
      <c r="F69" s="194">
        <f t="shared" si="6"/>
        <v>13713</v>
      </c>
      <c r="G69" s="194" t="e">
        <f t="shared" si="6"/>
        <v>#VALUE!</v>
      </c>
      <c r="I69" s="214" t="e">
        <f>I68/I32</f>
        <v>#VALUE!</v>
      </c>
      <c r="J69" s="214">
        <f>J68/J32</f>
        <v>-0.74905755921904016</v>
      </c>
      <c r="K69" s="214">
        <f>K68/K32</f>
        <v>-0.61728758131491968</v>
      </c>
      <c r="L69" s="214">
        <f>L68/L32</f>
        <v>-0.44549687926662762</v>
      </c>
      <c r="M69" s="214">
        <f>M68/M32</f>
        <v>-0.69681483018085122</v>
      </c>
      <c r="N69" s="185" t="s">
        <v>205</v>
      </c>
    </row>
    <row r="70" spans="1:17" x14ac:dyDescent="0.35">
      <c r="A70" s="185">
        <f>MATCH(B70,CFlow!A$200:A$350,0)</f>
        <v>80</v>
      </c>
      <c r="B70" s="185" t="s">
        <v>549</v>
      </c>
      <c r="C70" s="194">
        <f>INDEX(CFlow!$A$200:$M$500,$A70,COLUMN()-COLUMN($A70))</f>
        <v>104038</v>
      </c>
      <c r="D70" s="194">
        <f>INDEX(CFlow!$A$200:$M$500,$A70,COLUMN()-COLUMN($A70))</f>
        <v>80674</v>
      </c>
      <c r="E70" s="194">
        <f>INDEX(CFlow!$A$200:$M$500,$A70,COLUMN()-COLUMN($A70))</f>
        <v>69391</v>
      </c>
      <c r="F70" s="194">
        <f>INDEX(CFlow!$A$200:$M$500,$A70,COLUMN()-COLUMN($A70))</f>
        <v>77434</v>
      </c>
      <c r="G70" s="194" t="str">
        <f>INDEX(CFlow!$A$200:$M$500,$A70,COLUMN()-COLUMN($A70))</f>
        <v>NA</v>
      </c>
      <c r="I70" s="239" t="e">
        <f>I64-I54-I68</f>
        <v>#VALUE!</v>
      </c>
      <c r="J70" s="239">
        <f t="shared" ref="J70:M70" si="7">J64-J54-J68</f>
        <v>77034</v>
      </c>
      <c r="K70" s="239">
        <f t="shared" si="7"/>
        <v>65766</v>
      </c>
      <c r="L70" s="239">
        <f t="shared" si="7"/>
        <v>73901</v>
      </c>
      <c r="M70" s="239">
        <f t="shared" si="7"/>
        <v>100655</v>
      </c>
      <c r="N70" s="199" t="s">
        <v>5</v>
      </c>
      <c r="O70" s="185" t="s">
        <v>151</v>
      </c>
    </row>
    <row r="71" spans="1:17" x14ac:dyDescent="0.35">
      <c r="B71" s="374" t="s">
        <v>282</v>
      </c>
      <c r="C71" s="375">
        <f>C64/C32</f>
        <v>6.5399387733293102</v>
      </c>
      <c r="D71" s="375">
        <f t="shared" ref="D71:G71" si="8">D64/D32</f>
        <v>4.9172274234445092</v>
      </c>
      <c r="E71" s="375">
        <f t="shared" si="8"/>
        <v>4.0813913820889551</v>
      </c>
      <c r="F71" s="375">
        <f t="shared" si="8"/>
        <v>4.3568333989759749</v>
      </c>
      <c r="G71" s="375" t="e">
        <f t="shared" si="8"/>
        <v>#VALUE!</v>
      </c>
      <c r="N71" s="202"/>
      <c r="O71" s="185" t="s">
        <v>212</v>
      </c>
    </row>
    <row r="72" spans="1:17" x14ac:dyDescent="0.35">
      <c r="B72" s="185" t="s">
        <v>673</v>
      </c>
      <c r="G72" s="406" t="e">
        <f>G71*G32</f>
        <v>#VALUE!</v>
      </c>
      <c r="I72" s="355" t="e">
        <f>G71</f>
        <v>#VALUE!</v>
      </c>
      <c r="J72" s="355">
        <f>F71</f>
        <v>4.3568333989759749</v>
      </c>
      <c r="K72" s="355">
        <f>E71</f>
        <v>4.0813913820889551</v>
      </c>
      <c r="L72" s="355">
        <f>D71</f>
        <v>4.9172274234445092</v>
      </c>
      <c r="M72" s="355">
        <f>C71</f>
        <v>6.5399387733293102</v>
      </c>
      <c r="N72" s="215">
        <f>IF(M72="--","No data",(M72/L72))</f>
        <v>1.3300053485726504</v>
      </c>
      <c r="O72" s="185" t="s">
        <v>201</v>
      </c>
    </row>
    <row r="73" spans="1:17" x14ac:dyDescent="0.35">
      <c r="B73" s="360" t="s">
        <v>315</v>
      </c>
      <c r="C73" s="186" t="str">
        <f ca="1">OFFSET(AnnBS!A119,-60,0,1)</f>
        <v>Insurance</v>
      </c>
      <c r="D73" s="351" t="str">
        <f>AnnBS!A60</f>
        <v>Investing</v>
      </c>
      <c r="E73" s="351"/>
    </row>
    <row r="74" spans="1:17" x14ac:dyDescent="0.35">
      <c r="B74" s="185" t="s">
        <v>783</v>
      </c>
      <c r="C74" s="407" t="str">
        <f ca="1">AnnBS!J203</f>
        <v>Apple (AAPL)</v>
      </c>
      <c r="D74" s="409"/>
      <c r="E74" s="237"/>
      <c r="F74" s="224"/>
      <c r="G74" s="224"/>
      <c r="I74" s="213">
        <f>C63/I9-1</f>
        <v>0.9324420859271354</v>
      </c>
      <c r="J74" s="213">
        <f>D63/J9-1</f>
        <v>0.25340581608593138</v>
      </c>
      <c r="K74" s="213">
        <f>E63/K9-1</f>
        <v>0.47565763119241544</v>
      </c>
      <c r="L74" s="213">
        <f>F63/L9-1</f>
        <v>0.15580709043606578</v>
      </c>
      <c r="M74" s="213" t="e">
        <f>G63/M9-1</f>
        <v>#VALUE!</v>
      </c>
      <c r="N74" s="199" t="s">
        <v>9</v>
      </c>
    </row>
    <row r="75" spans="1:17" x14ac:dyDescent="0.35">
      <c r="B75" s="221"/>
      <c r="C75" s="402"/>
      <c r="D75" s="403"/>
      <c r="E75" s="404"/>
      <c r="F75" s="335"/>
      <c r="M75" s="185" t="e">
        <f>IF(G69="--",0,G69)</f>
        <v>#VALUE!</v>
      </c>
      <c r="N75" s="203"/>
      <c r="O75" s="283"/>
      <c r="P75" s="283"/>
      <c r="Q75" s="283"/>
    </row>
    <row r="76" spans="1:17" x14ac:dyDescent="0.35">
      <c r="C76" s="378"/>
      <c r="D76" s="224"/>
      <c r="E76" s="318"/>
      <c r="F76" s="318"/>
      <c r="I76" s="218" t="str">
        <f>IF(SUM(C63:C64)=0,"CAUTION The most recent fiscal year data are incomplete or not yet reported","")</f>
        <v/>
      </c>
      <c r="J76" s="185" t="s">
        <v>225</v>
      </c>
    </row>
    <row r="77" spans="1:17" x14ac:dyDescent="0.35">
      <c r="B77" s="221"/>
      <c r="C77" s="380"/>
      <c r="D77" s="221"/>
      <c r="E77" s="221"/>
    </row>
    <row r="78" spans="1:17" x14ac:dyDescent="0.35">
      <c r="A78" s="185">
        <f>MATCH(B78,AnnBS!A$100:A$400,0)</f>
        <v>112</v>
      </c>
      <c r="B78" s="185" t="s">
        <v>1102</v>
      </c>
      <c r="C78" s="383"/>
      <c r="D78" s="185">
        <f ca="1">AnnBS!J211</f>
        <v>152.55000000000001</v>
      </c>
      <c r="E78" s="185" t="str">
        <f ca="1">AnnBS!J320</f>
        <v>Cash &amp; Equivalents</v>
      </c>
      <c r="F78" s="185" t="s">
        <v>672</v>
      </c>
    </row>
    <row r="79" spans="1:17" x14ac:dyDescent="0.35">
      <c r="A79" s="185">
        <f>MATCH(B79,AnnBS!A$100:A$400,0)</f>
        <v>112</v>
      </c>
      <c r="B79" s="185" t="s">
        <v>1101</v>
      </c>
      <c r="C79" s="426">
        <f ca="1">AnnBS!J211</f>
        <v>152.55000000000001</v>
      </c>
      <c r="E79" s="185" t="str">
        <f>AnnBS!A313</f>
        <v>Total Shareholder's Equity</v>
      </c>
      <c r="F79" s="185" t="s">
        <v>669</v>
      </c>
    </row>
    <row r="80" spans="1:17" x14ac:dyDescent="0.35">
      <c r="C80" s="395" t="str">
        <f>IF(E79="Data feed",C79,E79)</f>
        <v>Total Shareholder's Equity</v>
      </c>
      <c r="D80" s="185" t="str">
        <f ca="1">MID(E78,2,3)</f>
        <v>ash</v>
      </c>
      <c r="E80" s="355" t="str">
        <f>AnnBS!A317</f>
        <v>Book Value Per Share</v>
      </c>
      <c r="F80" s="185" t="s">
        <v>668</v>
      </c>
    </row>
    <row r="81" spans="1:15" x14ac:dyDescent="0.35">
      <c r="B81" s="351" t="str">
        <f ca="1">AnnBS!J204</f>
        <v>$152.55 USD</v>
      </c>
      <c r="C81" s="395" t="s">
        <v>670</v>
      </c>
      <c r="D81" s="185" t="e">
        <f ca="1">VALUE(E81)</f>
        <v>#VALUE!</v>
      </c>
      <c r="E81" s="185" t="str">
        <f ca="1">IF(ISNUMBER(E79),E79,D80)</f>
        <v>ash</v>
      </c>
    </row>
    <row r="82" spans="1:15" x14ac:dyDescent="0.35">
      <c r="B82" s="405" t="s">
        <v>829</v>
      </c>
      <c r="C82" s="395"/>
    </row>
    <row r="83" spans="1:15" x14ac:dyDescent="0.35">
      <c r="C83" s="395"/>
    </row>
    <row r="84" spans="1:15" x14ac:dyDescent="0.35">
      <c r="A84" s="219"/>
      <c r="B84" s="398" t="s">
        <v>803</v>
      </c>
      <c r="C84" s="291"/>
      <c r="D84" s="291"/>
      <c r="E84" s="291"/>
      <c r="F84" s="291"/>
      <c r="G84" s="291"/>
      <c r="H84" s="290"/>
      <c r="I84" s="291"/>
      <c r="J84" s="291"/>
      <c r="K84" s="291"/>
      <c r="L84" s="291"/>
      <c r="M84" s="291"/>
      <c r="N84" s="290"/>
      <c r="O84" s="290"/>
    </row>
    <row r="85" spans="1:15" x14ac:dyDescent="0.35">
      <c r="A85" s="185">
        <f>MATCH(B85,AnnBS!A$200:A$415,0)</f>
        <v>74</v>
      </c>
      <c r="B85" t="s">
        <v>335</v>
      </c>
      <c r="C85" s="411">
        <f ca="1">OFFSET(INDEX(AnnBS!$A$400:$O$500,$A85,COLUMN()-COLUMN($A85)),1,0)</f>
        <v>0</v>
      </c>
      <c r="D85" s="411">
        <f ca="1">OFFSET(INDEX(AnnBS!$A$400:$O$500,$A85,COLUMN()-COLUMN($A85)),1,0)</f>
        <v>0</v>
      </c>
      <c r="E85" s="411">
        <f ca="1">OFFSET(INDEX(AnnBS!$A$400:$O$500,$A85,COLUMN()-COLUMN($A85)),1,0)</f>
        <v>0</v>
      </c>
      <c r="F85" s="411">
        <f ca="1">OFFSET(INDEX(AnnBS!$A$400:$O$500,$A85,COLUMN()-COLUMN($A85)),1,0)</f>
        <v>0</v>
      </c>
      <c r="G85" s="411">
        <f ca="1">OFFSET(INDEX(AnnBS!$A$400:$O$500,$A85,COLUMN()-COLUMN($A85)),1,0)</f>
        <v>0</v>
      </c>
      <c r="H85" s="364"/>
      <c r="I85" s="411">
        <f ca="1">G85</f>
        <v>0</v>
      </c>
      <c r="J85" s="411">
        <f ca="1">F85</f>
        <v>0</v>
      </c>
      <c r="K85" s="411">
        <f ca="1">E85</f>
        <v>0</v>
      </c>
      <c r="L85" s="411">
        <f ca="1">D85</f>
        <v>0</v>
      </c>
      <c r="M85" s="411">
        <f ca="1">C85</f>
        <v>0</v>
      </c>
    </row>
    <row r="86" spans="1:15" x14ac:dyDescent="0.35">
      <c r="B86" s="221"/>
      <c r="C86" s="289"/>
      <c r="D86" s="289"/>
      <c r="E86" s="289"/>
      <c r="F86" s="289"/>
      <c r="G86" s="289"/>
      <c r="I86" s="212"/>
      <c r="J86" s="212"/>
      <c r="K86" s="212"/>
      <c r="L86" s="212"/>
      <c r="M86" s="212"/>
    </row>
    <row r="88" spans="1:15" x14ac:dyDescent="0.35">
      <c r="I88" s="223"/>
      <c r="J88" s="223"/>
      <c r="K88" s="223"/>
      <c r="L88" s="223"/>
      <c r="M88" s="223"/>
      <c r="N88" s="199"/>
    </row>
    <row r="89" spans="1:15" x14ac:dyDescent="0.35">
      <c r="I89" s="194"/>
      <c r="J89" s="194"/>
      <c r="K89" s="194"/>
      <c r="L89" s="194"/>
      <c r="M89" s="194"/>
    </row>
    <row r="90" spans="1:15" x14ac:dyDescent="0.35">
      <c r="B90" s="221" t="s">
        <v>317</v>
      </c>
      <c r="C90" s="289" t="e">
        <f>INDEX(#REF!,$A90,COLUMN()-COLUMN($A90))</f>
        <v>#REF!</v>
      </c>
      <c r="D90" s="289" t="e">
        <f>INDEX(#REF!,$A90,COLUMN()-COLUMN($A90))</f>
        <v>#REF!</v>
      </c>
      <c r="E90" s="289" t="e">
        <f>INDEX(#REF!,$A90,COLUMN()-COLUMN($A90))</f>
        <v>#REF!</v>
      </c>
      <c r="F90" s="289" t="e">
        <f>INDEX(#REF!,$A90,COLUMN()-COLUMN($A90))</f>
        <v>#REF!</v>
      </c>
      <c r="G90" s="289" t="e">
        <f>INDEX(#REF!,$A90,COLUMN()-COLUMN($A90))</f>
        <v>#REF!</v>
      </c>
      <c r="I90" s="224" t="e">
        <f>C90</f>
        <v>#REF!</v>
      </c>
      <c r="J90" s="224" t="e">
        <f>D90</f>
        <v>#REF!</v>
      </c>
      <c r="K90" s="224" t="e">
        <f>E90</f>
        <v>#REF!</v>
      </c>
      <c r="L90" s="224" t="e">
        <f>F90</f>
        <v>#REF!</v>
      </c>
      <c r="M90" s="224" t="e">
        <f>G90</f>
        <v>#REF!</v>
      </c>
      <c r="N90" s="185" t="s">
        <v>68</v>
      </c>
    </row>
    <row r="91" spans="1:15" x14ac:dyDescent="0.35">
      <c r="C91" s="289"/>
      <c r="D91" s="289"/>
      <c r="E91" s="289"/>
      <c r="F91" s="289"/>
      <c r="G91" s="289"/>
      <c r="I91" s="210" t="e">
        <f>IF(I95=0,"No Div.",I90/I95)</f>
        <v>#REF!</v>
      </c>
      <c r="J91" s="210" t="e">
        <f>IF(J95=0,"No Div.",J90/J95)</f>
        <v>#REF!</v>
      </c>
      <c r="K91" s="210" t="e">
        <f>IF(K95=0,"No Div.",K90/K95)</f>
        <v>#REF!</v>
      </c>
      <c r="L91" s="210" t="e">
        <f>IF(L95=0,"No Div.",L90/L95)</f>
        <v>#REF!</v>
      </c>
      <c r="M91" s="210" t="e">
        <f>IF(M95=0,"No Div.",M90/M95)</f>
        <v>#REF!</v>
      </c>
      <c r="N91" s="185" t="s">
        <v>221</v>
      </c>
    </row>
    <row r="92" spans="1:15" x14ac:dyDescent="0.35">
      <c r="C92" s="289"/>
      <c r="D92" s="289"/>
      <c r="E92" s="289"/>
      <c r="F92" s="289"/>
      <c r="G92" s="289"/>
    </row>
    <row r="93" spans="1:15" x14ac:dyDescent="0.35">
      <c r="C93" s="289"/>
      <c r="D93" s="289"/>
      <c r="E93" s="289"/>
      <c r="F93" s="289"/>
      <c r="G93" s="289"/>
      <c r="I93" s="203">
        <f>C86/C97</f>
        <v>0</v>
      </c>
      <c r="J93" s="203">
        <f>D86/D97</f>
        <v>0</v>
      </c>
      <c r="K93" s="203">
        <f>E86/E97</f>
        <v>0</v>
      </c>
      <c r="L93" s="203">
        <f>F86/F97</f>
        <v>0</v>
      </c>
      <c r="M93" s="203" t="e">
        <f>G86/G97</f>
        <v>#VALUE!</v>
      </c>
      <c r="N93" s="199" t="s">
        <v>21</v>
      </c>
    </row>
    <row r="94" spans="1:15" x14ac:dyDescent="0.35">
      <c r="A94" s="185" t="e">
        <f>MATCH(B94,AnnBS!A$400:A$415,0)</f>
        <v>#N/A</v>
      </c>
      <c r="B94" s="221" t="s">
        <v>247</v>
      </c>
      <c r="C94" s="289" t="e">
        <f>INDEX(Income!$A$350:W$500,$A94,COLUMN()-COLUMN($A94))</f>
        <v>#N/A</v>
      </c>
      <c r="D94" s="289" t="e">
        <f>INDEX(Income!$A$350:X$500,$A94,COLUMN()-COLUMN($A94))</f>
        <v>#N/A</v>
      </c>
      <c r="E94" s="289" t="e">
        <f>INDEX(Income!$A$350:Y$500,$A94,COLUMN()-COLUMN($A94))</f>
        <v>#N/A</v>
      </c>
      <c r="F94" s="289" t="e">
        <f>INDEX(Income!$A$350:Z$500,$A94,COLUMN()-COLUMN($A94))</f>
        <v>#N/A</v>
      </c>
      <c r="G94" s="289" t="e">
        <f>INDEX(Income!$A$350:AA$500,$A94,COLUMN()-COLUMN($A94))</f>
        <v>#N/A</v>
      </c>
      <c r="I94" s="224"/>
      <c r="J94" s="224"/>
      <c r="K94" s="224"/>
      <c r="L94" s="224"/>
      <c r="M94" s="224"/>
    </row>
    <row r="95" spans="1:15" x14ac:dyDescent="0.35">
      <c r="A95" s="185">
        <f>MATCH(B95,Income!$A$200:$A$415,0)</f>
        <v>76</v>
      </c>
      <c r="B95" s="185" t="s">
        <v>438</v>
      </c>
      <c r="C95" s="289">
        <f>INDEX(Income!$A$200:W$500,$A95,COLUMN()-COLUMN($A95))</f>
        <v>365817</v>
      </c>
      <c r="D95" s="289">
        <f>INDEX(Income!$A$200:X$500,$A95,COLUMN()-COLUMN($A95))</f>
        <v>274515</v>
      </c>
      <c r="E95" s="289">
        <f>INDEX(Income!$A$200:Y$500,$A95,COLUMN()-COLUMN($A95))</f>
        <v>260174</v>
      </c>
      <c r="F95" s="289">
        <f>INDEX(Income!$A$200:Z$500,$A95,COLUMN()-COLUMN($A95))</f>
        <v>265595</v>
      </c>
      <c r="G95" s="289" t="str">
        <f>INDEX(Income!$A$200:AA$500,$A95,COLUMN()-COLUMN($A95))</f>
        <v>NA</v>
      </c>
      <c r="I95" s="210" t="str">
        <f>G95</f>
        <v>NA</v>
      </c>
      <c r="J95" s="210">
        <f>F95</f>
        <v>265595</v>
      </c>
      <c r="K95" s="210">
        <f>E95</f>
        <v>260174</v>
      </c>
      <c r="L95" s="210">
        <f>D95</f>
        <v>274515</v>
      </c>
      <c r="M95" s="214">
        <f>C95</f>
        <v>365817</v>
      </c>
      <c r="N95" s="185" t="s">
        <v>555</v>
      </c>
    </row>
    <row r="96" spans="1:15" x14ac:dyDescent="0.35">
      <c r="A96" s="185">
        <f>MATCH(B96,Income!$A$200:$A$415,0)</f>
        <v>83</v>
      </c>
      <c r="B96" s="185" t="s">
        <v>442</v>
      </c>
      <c r="C96" s="289">
        <f>INDEX(Income!$A$200:W$500,$A96,COLUMN()-COLUMN($A96))</f>
        <v>109207</v>
      </c>
      <c r="D96" s="289">
        <f>INDEX(Income!$A$200:X$500,$A96,COLUMN()-COLUMN($A96))</f>
        <v>67091</v>
      </c>
      <c r="E96" s="289">
        <f>INDEX(Income!$A$200:Y$500,$A96,COLUMN()-COLUMN($A96))</f>
        <v>65737</v>
      </c>
      <c r="F96" s="289">
        <f>INDEX(Income!$A$200:Z$500,$A96,COLUMN()-COLUMN($A96))</f>
        <v>72903</v>
      </c>
      <c r="G96" s="289" t="str">
        <f>INDEX(Income!$A$200:AA$500,$A96,COLUMN()-COLUMN($A96))</f>
        <v>NA</v>
      </c>
      <c r="I96" s="210" t="str">
        <f>G97</f>
        <v>NA</v>
      </c>
      <c r="J96" s="210">
        <f>F97</f>
        <v>59531</v>
      </c>
      <c r="K96" s="210">
        <f>E97</f>
        <v>55256</v>
      </c>
      <c r="L96" s="210">
        <f>D97</f>
        <v>57411</v>
      </c>
      <c r="M96" s="210">
        <f>C97</f>
        <v>94680</v>
      </c>
      <c r="N96" s="199" t="s">
        <v>109</v>
      </c>
    </row>
    <row r="97" spans="1:16" x14ac:dyDescent="0.35">
      <c r="A97" s="185">
        <f>MATCH(B97,Income!$A$200:$A$415,0)</f>
        <v>90</v>
      </c>
      <c r="B97" s="185" t="s">
        <v>1025</v>
      </c>
      <c r="C97" s="289">
        <f>INDEX(Income!$A$200:W$500,$A97,COLUMN()-COLUMN($A97))</f>
        <v>94680</v>
      </c>
      <c r="D97" s="289">
        <f>INDEX(Income!$A$200:X$500,$A97,COLUMN()-COLUMN($A97))</f>
        <v>57411</v>
      </c>
      <c r="E97" s="289">
        <f>INDEX(Income!$A$200:Y$500,$A97,COLUMN()-COLUMN($A97))</f>
        <v>55256</v>
      </c>
      <c r="F97" s="289">
        <f>INDEX(Income!$A$200:Z$500,$A97,COLUMN()-COLUMN($A97))</f>
        <v>59531</v>
      </c>
      <c r="G97" s="289" t="str">
        <f>INDEX(Income!$A$200:AA$500,$A97,COLUMN()-COLUMN($A97))</f>
        <v>NA</v>
      </c>
      <c r="I97" s="220">
        <f>C97*C32</f>
        <v>1506178908</v>
      </c>
      <c r="J97" s="220">
        <f>D97*D32</f>
        <v>941907830.4000001</v>
      </c>
      <c r="K97" s="220">
        <f>E97*E32</f>
        <v>939451460.79999995</v>
      </c>
      <c r="L97" s="220">
        <f>F97*F32</f>
        <v>1058044463</v>
      </c>
      <c r="M97" s="220" t="e">
        <f>G97*G32</f>
        <v>#VALUE!</v>
      </c>
      <c r="N97" s="199" t="s">
        <v>277</v>
      </c>
    </row>
    <row r="98" spans="1:16" x14ac:dyDescent="0.35">
      <c r="A98" s="185">
        <f>MATCH(B98,Income!$A$200:$A$415,0)</f>
        <v>77</v>
      </c>
      <c r="B98" s="223" t="s">
        <v>439</v>
      </c>
      <c r="C98" s="289">
        <f>INDEX(Income!$A$200:W$500,$A98,COLUMN()-COLUMN($A98))</f>
        <v>212981</v>
      </c>
      <c r="D98" s="289">
        <f>INDEX(Income!$A$200:X$500,$A98,COLUMN()-COLUMN($A98))</f>
        <v>169559</v>
      </c>
      <c r="E98" s="289">
        <f>INDEX(Income!$A$200:Y$500,$A98,COLUMN()-COLUMN($A98))</f>
        <v>161782</v>
      </c>
      <c r="F98" s="289">
        <f>INDEX(Income!$A$200:Z$500,$A98,COLUMN()-COLUMN($A98))</f>
        <v>163756</v>
      </c>
      <c r="G98" s="289" t="str">
        <f>INDEX(Income!$A$200:AA$500,$A98,COLUMN()-COLUMN($A98))</f>
        <v>NA</v>
      </c>
      <c r="J98" s="225">
        <f>(D95/C95)-1</f>
        <v>-0.24958380829759141</v>
      </c>
      <c r="K98" s="225">
        <f>(E95/D95)-1</f>
        <v>-5.2241225433947158E-2</v>
      </c>
      <c r="L98" s="225">
        <f>(F95/E95)-1</f>
        <v>2.0836055870302239E-2</v>
      </c>
      <c r="M98" s="225" t="e">
        <f>(G95/F95)-1</f>
        <v>#VALUE!</v>
      </c>
      <c r="N98" s="199" t="s">
        <v>10</v>
      </c>
      <c r="O98" s="199"/>
    </row>
    <row r="99" spans="1:16" x14ac:dyDescent="0.35">
      <c r="A99" s="185">
        <f>MATCH(B99,Income!$A$200:$A$415,0)</f>
        <v>90</v>
      </c>
      <c r="B99" s="194" t="s">
        <v>1025</v>
      </c>
      <c r="C99" s="289">
        <f>INDEX(Income!$A$200:W$500,$A99,COLUMN()-COLUMN($A99))</f>
        <v>94680</v>
      </c>
      <c r="D99" s="289">
        <f>INDEX(Income!$A$200:X$500,$A99,COLUMN()-COLUMN($A99))</f>
        <v>57411</v>
      </c>
      <c r="E99" s="289">
        <f>INDEX(Income!$A$200:Y$500,$A99,COLUMN()-COLUMN($A99))</f>
        <v>55256</v>
      </c>
      <c r="F99" s="289">
        <f>INDEX(Income!$A$200:Z$500,$A99,COLUMN()-COLUMN($A99))</f>
        <v>59531</v>
      </c>
      <c r="G99" s="289" t="str">
        <f>INDEX(Income!$A$200:AA$500,$A99,COLUMN()-COLUMN($A99))</f>
        <v>NA</v>
      </c>
      <c r="I99" s="257" t="str">
        <f>G98</f>
        <v>NA</v>
      </c>
      <c r="J99" s="257">
        <f>F98</f>
        <v>163756</v>
      </c>
      <c r="K99" s="257">
        <f>E98</f>
        <v>161782</v>
      </c>
      <c r="L99" s="257">
        <f>D98</f>
        <v>169559</v>
      </c>
      <c r="M99" s="257">
        <f>C98</f>
        <v>212981</v>
      </c>
      <c r="N99" s="199" t="s">
        <v>283</v>
      </c>
      <c r="O99" s="199"/>
    </row>
    <row r="100" spans="1:16" x14ac:dyDescent="0.35">
      <c r="A100" s="185" t="e">
        <f>MATCH(B100,Income!$A$200:$A$415,0)</f>
        <v>#N/A</v>
      </c>
      <c r="B100" s="363" t="s">
        <v>5</v>
      </c>
      <c r="C100" s="289" t="e">
        <f>INDEX(Income!$A$200:W$500,$A100,COLUMN()-COLUMN($A100))</f>
        <v>#N/A</v>
      </c>
      <c r="D100" s="289" t="e">
        <f>INDEX(Income!$A$200:X$500,$A100,COLUMN()-COLUMN($A100))</f>
        <v>#N/A</v>
      </c>
      <c r="E100" s="289" t="e">
        <f>INDEX(Income!$A$200:Y$500,$A100,COLUMN()-COLUMN($A100))</f>
        <v>#N/A</v>
      </c>
      <c r="F100" s="289" t="e">
        <f>INDEX(Income!$A$200:Z$500,$A100,COLUMN()-COLUMN($A100))</f>
        <v>#N/A</v>
      </c>
      <c r="G100" s="289" t="e">
        <f>INDEX(Income!$A$200:AA$500,$A100,COLUMN()-COLUMN($A100))</f>
        <v>#N/A</v>
      </c>
      <c r="I100" s="203" t="e">
        <f>I96/C95</f>
        <v>#VALUE!</v>
      </c>
      <c r="J100" s="203">
        <f>J96/D95</f>
        <v>0.21685882374369342</v>
      </c>
      <c r="K100" s="203">
        <f>K96/E95</f>
        <v>0.21238094505984456</v>
      </c>
      <c r="L100" s="203">
        <f>L96/F95</f>
        <v>0.21615994277000697</v>
      </c>
      <c r="M100" s="203" t="e">
        <f>M96/G95</f>
        <v>#VALUE!</v>
      </c>
      <c r="N100" s="199" t="s">
        <v>194</v>
      </c>
      <c r="O100" s="199"/>
    </row>
    <row r="101" spans="1:16" x14ac:dyDescent="0.35">
      <c r="A101" s="185">
        <f>MATCH(B101,Income!$A$200:$A$415,0)</f>
        <v>88</v>
      </c>
      <c r="B101" s="185" t="s">
        <v>444</v>
      </c>
      <c r="C101" s="289">
        <f>INDEX(Income!$A$200:W$500,$A101,COLUMN()-COLUMN($A101))</f>
        <v>94680</v>
      </c>
      <c r="D101" s="289">
        <f>INDEX(Income!$A$200:X$500,$A101,COLUMN()-COLUMN($A101))</f>
        <v>57411</v>
      </c>
      <c r="E101" s="289">
        <f>INDEX(Income!$A$200:Y$500,$A101,COLUMN()-COLUMN($A101))</f>
        <v>55256</v>
      </c>
      <c r="F101" s="289">
        <f>INDEX(Income!$A$200:Z$500,$A101,COLUMN()-COLUMN($A101))</f>
        <v>59531</v>
      </c>
      <c r="G101" s="289" t="str">
        <f>INDEX(Income!$A$200:AA$500,$A101,COLUMN()-COLUMN($A101))</f>
        <v>NA</v>
      </c>
      <c r="I101" s="236" t="e">
        <f>C100</f>
        <v>#N/A</v>
      </c>
      <c r="J101" s="236" t="e">
        <f>D100</f>
        <v>#N/A</v>
      </c>
      <c r="K101" s="236" t="e">
        <f>E100</f>
        <v>#N/A</v>
      </c>
      <c r="L101" s="236" t="e">
        <f>F100</f>
        <v>#N/A</v>
      </c>
      <c r="M101" s="236" t="e">
        <f>G100</f>
        <v>#N/A</v>
      </c>
      <c r="N101" s="199" t="s">
        <v>5</v>
      </c>
    </row>
    <row r="102" spans="1:16" x14ac:dyDescent="0.35">
      <c r="I102" s="203">
        <f>C97/C95</f>
        <v>0.25881793355694238</v>
      </c>
      <c r="J102" s="203">
        <f>D97/D95</f>
        <v>0.20913611278072236</v>
      </c>
      <c r="K102" s="203">
        <f>E97/E95</f>
        <v>0.21238094505984456</v>
      </c>
      <c r="L102" s="203">
        <f>F97/F95</f>
        <v>0.22414202074587247</v>
      </c>
      <c r="M102" s="203" t="e">
        <f>G97/G95</f>
        <v>#VALUE!</v>
      </c>
      <c r="N102" s="199" t="s">
        <v>142</v>
      </c>
      <c r="O102" s="199"/>
    </row>
    <row r="103" spans="1:16" x14ac:dyDescent="0.35">
      <c r="B103" s="372" t="s">
        <v>804</v>
      </c>
      <c r="C103" s="222"/>
      <c r="D103" s="222"/>
      <c r="E103" s="222"/>
      <c r="F103" s="222"/>
      <c r="G103" s="222"/>
      <c r="I103" s="256">
        <f>(C95-C98)/C95</f>
        <v>0.41779359625167778</v>
      </c>
      <c r="J103" s="256">
        <f>(D95-D98)/D95</f>
        <v>0.38233247727810865</v>
      </c>
      <c r="K103" s="256">
        <f>(E95-E98)/E95</f>
        <v>0.37817768109034722</v>
      </c>
      <c r="L103" s="256">
        <f>(F95-F98)/F95</f>
        <v>0.38343718820007905</v>
      </c>
      <c r="M103" s="256" t="e">
        <f>(G95-G98)/G95</f>
        <v>#VALUE!</v>
      </c>
      <c r="N103" s="199" t="s">
        <v>195</v>
      </c>
      <c r="O103" s="199"/>
    </row>
    <row r="104" spans="1:16" x14ac:dyDescent="0.35">
      <c r="A104" s="185">
        <f>MATCH(B104,AnnBS!$A$200:$A$401,0)</f>
        <v>83</v>
      </c>
      <c r="B104" s="185" t="s">
        <v>480</v>
      </c>
      <c r="C104" s="289">
        <f>INDEX(AnnBS!$A$200:N$500,$A104,COLUMN()-COLUMN($A104))</f>
        <v>42117</v>
      </c>
      <c r="D104" s="289">
        <f>INDEX(AnnBS!$A$200:O$500,$A104,COLUMN()-COLUMN($A104))</f>
        <v>39440</v>
      </c>
      <c r="E104" s="289">
        <f>INDEX(AnnBS!$A$200:P$500,$A104,COLUMN()-COLUMN($A104))</f>
        <v>36766</v>
      </c>
      <c r="F104" s="289">
        <f>INDEX(AnnBS!$A$200:Q$500,$A104,COLUMN()-COLUMN($A104))</f>
        <v>37378</v>
      </c>
      <c r="G104" s="289">
        <f>INDEX(AnnBS!$A$200:R$500,$A104,COLUMN()-COLUMN($A104))</f>
        <v>41304</v>
      </c>
      <c r="I104" s="203">
        <f>C99/C95</f>
        <v>0.25881793355694238</v>
      </c>
      <c r="J104" s="203">
        <f>D99/D95</f>
        <v>0.20913611278072236</v>
      </c>
      <c r="K104" s="203">
        <f>E99/E95</f>
        <v>0.21238094505984456</v>
      </c>
      <c r="L104" s="203">
        <f>F99/F95</f>
        <v>0.22414202074587247</v>
      </c>
      <c r="M104" s="203" t="e">
        <f>G99/G95</f>
        <v>#VALUE!</v>
      </c>
      <c r="N104" s="199" t="s">
        <v>169</v>
      </c>
      <c r="O104" s="199"/>
      <c r="P104" s="226"/>
    </row>
    <row r="105" spans="1:16" x14ac:dyDescent="0.35">
      <c r="C105" s="289"/>
      <c r="D105" s="289"/>
      <c r="E105" s="289"/>
      <c r="F105" s="289"/>
      <c r="G105" s="289"/>
      <c r="I105" s="236">
        <f>1-C104</f>
        <v>-42116</v>
      </c>
      <c r="J105" s="236">
        <f>1-D104</f>
        <v>-39439</v>
      </c>
      <c r="K105" s="236">
        <f>1-E104</f>
        <v>-36765</v>
      </c>
      <c r="L105" s="236">
        <f>1-F104</f>
        <v>-37377</v>
      </c>
      <c r="M105" s="236">
        <f>1-G104</f>
        <v>-41303</v>
      </c>
      <c r="N105" s="185" t="s">
        <v>316</v>
      </c>
    </row>
    <row r="106" spans="1:16" ht="14.25" customHeight="1" x14ac:dyDescent="0.35">
      <c r="A106" s="185">
        <f>MATCH(B106,AnnBS!$A$200:$A$401,0)</f>
        <v>78</v>
      </c>
      <c r="B106" s="185" t="s">
        <v>478</v>
      </c>
      <c r="C106" s="289">
        <f>INDEX(AnnBS!$A$200:N$500,$A106,COLUMN()-COLUMN($A106))</f>
        <v>60932</v>
      </c>
      <c r="D106" s="289">
        <f>INDEX(AnnBS!$A$200:O$500,$A106,COLUMN()-COLUMN($A106))</f>
        <v>51506</v>
      </c>
      <c r="E106" s="289">
        <f>INDEX(AnnBS!$A$200:P$500,$A106,COLUMN()-COLUMN($A106))</f>
        <v>37445</v>
      </c>
      <c r="F106" s="289">
        <f>INDEX(AnnBS!$A$200:Q$500,$A106,COLUMN()-COLUMN($A106))</f>
        <v>45804</v>
      </c>
      <c r="G106" s="289">
        <f>INDEX(AnnBS!$A$200:R$500,$A106,COLUMN()-COLUMN($A106))</f>
        <v>48995</v>
      </c>
      <c r="I106" s="212">
        <f>IF(C106="--","No data",C106/$C$113)</f>
        <v>3.8302499984284735</v>
      </c>
      <c r="J106" s="212">
        <f>IF(D106="--","No data",D106/$C$113)</f>
        <v>3.2377216638064885</v>
      </c>
      <c r="K106" s="212">
        <f>IF(E106="--","No data",E106/$C$113)</f>
        <v>2.3538323244133492</v>
      </c>
      <c r="L106" s="212">
        <f>IF(F106="--","No data",F106/$C$113)</f>
        <v>2.8792879099326756</v>
      </c>
      <c r="M106" s="212">
        <f>IF(G106="--","No data",G106/$C$113)</f>
        <v>3.0798775466586203</v>
      </c>
      <c r="N106" s="185" t="s">
        <v>286</v>
      </c>
    </row>
    <row r="107" spans="1:16" ht="15" customHeight="1" x14ac:dyDescent="0.35">
      <c r="A107" s="185">
        <f>MATCH(B107,AnnBS!$A$200:$A$401,0)</f>
        <v>80</v>
      </c>
      <c r="B107" s="185" t="s">
        <v>46</v>
      </c>
      <c r="C107" s="289">
        <f>INDEX(AnnBS!$A$200:N$500,$A107,COLUMN()-COLUMN($A107))</f>
        <v>4946</v>
      </c>
      <c r="D107" s="289">
        <f>INDEX(AnnBS!$A$200:O$500,$A107,COLUMN()-COLUMN($A107))</f>
        <v>6580</v>
      </c>
      <c r="E107" s="289">
        <f>INDEX(AnnBS!$A$200:P$500,$A107,COLUMN()-COLUMN($A107))</f>
        <v>4061</v>
      </c>
      <c r="F107" s="289">
        <f>INDEX(AnnBS!$A$200:Q$500,$A107,COLUMN()-COLUMN($A107))</f>
        <v>4106</v>
      </c>
      <c r="G107" s="289">
        <f>INDEX(AnnBS!$A$200:R$500,$A107,COLUMN()-COLUMN($A107))</f>
        <v>3956</v>
      </c>
      <c r="I107" s="212">
        <f>G107</f>
        <v>3956</v>
      </c>
      <c r="J107" s="212">
        <f>F107</f>
        <v>4106</v>
      </c>
      <c r="K107" s="212">
        <f>E107</f>
        <v>4061</v>
      </c>
      <c r="L107" s="212">
        <f>D107</f>
        <v>6580</v>
      </c>
      <c r="M107" s="212">
        <f>C107</f>
        <v>4946</v>
      </c>
      <c r="N107" s="185" t="s">
        <v>554</v>
      </c>
    </row>
    <row r="108" spans="1:16" x14ac:dyDescent="0.35">
      <c r="C108" s="289"/>
      <c r="D108" s="289"/>
      <c r="E108" s="289"/>
      <c r="F108" s="289"/>
      <c r="G108" s="289"/>
      <c r="I108" s="203">
        <f>C104/C95</f>
        <v>0.11513133615988322</v>
      </c>
      <c r="J108" s="203">
        <f>D104/D95</f>
        <v>0.14367156621678231</v>
      </c>
      <c r="K108" s="203">
        <f>E104/E95</f>
        <v>0.1413131212188766</v>
      </c>
      <c r="L108" s="203">
        <f>F104/F95</f>
        <v>0.1407330710291986</v>
      </c>
      <c r="M108" s="203" t="e">
        <f>G104/G95</f>
        <v>#VALUE!</v>
      </c>
      <c r="N108" s="199" t="s">
        <v>231</v>
      </c>
      <c r="O108" s="199"/>
    </row>
    <row r="109" spans="1:16" x14ac:dyDescent="0.35">
      <c r="C109" s="289"/>
      <c r="D109" s="289"/>
      <c r="E109" s="289"/>
      <c r="F109" s="289"/>
      <c r="G109" s="289"/>
      <c r="I109" s="212">
        <f>G104</f>
        <v>41304</v>
      </c>
      <c r="J109" s="212">
        <f>F104</f>
        <v>37378</v>
      </c>
      <c r="K109" s="212">
        <f>E104</f>
        <v>36766</v>
      </c>
      <c r="L109" s="212">
        <f>D104</f>
        <v>39440</v>
      </c>
      <c r="M109" s="212">
        <f>C104</f>
        <v>42117</v>
      </c>
      <c r="N109" s="185" t="s">
        <v>276</v>
      </c>
    </row>
    <row r="110" spans="1:16" x14ac:dyDescent="0.35">
      <c r="A110" s="185">
        <f>MATCH(B110,AnnBS!$A$200:$A$401,0)</f>
        <v>89</v>
      </c>
      <c r="B110" s="185" t="s">
        <v>224</v>
      </c>
      <c r="C110" s="289">
        <f>INDEX(AnnBS!$A$200:N$500,$A110,COLUMN()-COLUMN($A110))</f>
        <v>352755</v>
      </c>
      <c r="D110" s="289">
        <f>INDEX(AnnBS!$A$200:O$500,$A110,COLUMN()-COLUMN($A110))</f>
        <v>351002</v>
      </c>
      <c r="E110" s="289">
        <f>INDEX(AnnBS!$A$200:P$500,$A110,COLUMN()-COLUMN($A110))</f>
        <v>323888</v>
      </c>
      <c r="F110" s="289">
        <f>INDEX(AnnBS!$A$200:Q$500,$A110,COLUMN()-COLUMN($A110))</f>
        <v>338516</v>
      </c>
      <c r="G110" s="289">
        <f>INDEX(AnnBS!$A$200:R$500,$A110,COLUMN()-COLUMN($A110))</f>
        <v>365725</v>
      </c>
      <c r="I110" s="236">
        <f t="shared" ref="I110:M111" si="9">C110</f>
        <v>352755</v>
      </c>
      <c r="J110" s="236">
        <f t="shared" si="9"/>
        <v>351002</v>
      </c>
      <c r="K110" s="236">
        <f t="shared" si="9"/>
        <v>323888</v>
      </c>
      <c r="L110" s="236">
        <f t="shared" si="9"/>
        <v>338516</v>
      </c>
      <c r="M110" s="236">
        <f t="shared" si="9"/>
        <v>365725</v>
      </c>
    </row>
    <row r="111" spans="1:16" x14ac:dyDescent="0.35">
      <c r="A111" s="185">
        <f>MATCH(B111,AnnBS!$A$200:$A$401,0)</f>
        <v>93</v>
      </c>
      <c r="B111" s="185" t="s">
        <v>489</v>
      </c>
      <c r="C111" s="289">
        <f>INDEX(AnnBS!$A$200:N$500,$A111,COLUMN()-COLUMN($A111))</f>
        <v>21110</v>
      </c>
      <c r="D111" s="289">
        <f>INDEX(AnnBS!$A$200:O$500,$A111,COLUMN()-COLUMN($A111))</f>
        <v>15613</v>
      </c>
      <c r="E111" s="289">
        <f>INDEX(AnnBS!$A$200:P$500,$A111,COLUMN()-COLUMN($A111))</f>
        <v>13769</v>
      </c>
      <c r="F111" s="289">
        <f>INDEX(AnnBS!$A$200:Q$500,$A111,COLUMN()-COLUMN($A111))</f>
        <v>16240</v>
      </c>
      <c r="G111" s="289">
        <f>INDEX(AnnBS!$A$200:R$500,$A111,COLUMN()-COLUMN($A111))</f>
        <v>20748</v>
      </c>
      <c r="I111" s="236">
        <f t="shared" si="9"/>
        <v>21110</v>
      </c>
      <c r="J111" s="236">
        <f t="shared" si="9"/>
        <v>15613</v>
      </c>
      <c r="K111" s="236">
        <f t="shared" si="9"/>
        <v>13769</v>
      </c>
      <c r="L111" s="236">
        <f t="shared" si="9"/>
        <v>16240</v>
      </c>
      <c r="M111" s="236">
        <f t="shared" si="9"/>
        <v>20748</v>
      </c>
      <c r="N111" s="185" t="s">
        <v>233</v>
      </c>
    </row>
    <row r="112" spans="1:16" x14ac:dyDescent="0.35">
      <c r="A112" s="185">
        <f>MATCH(B112,AnnBS!$A$200:$A$401,0)</f>
        <v>107</v>
      </c>
      <c r="B112" s="185" t="s">
        <v>499</v>
      </c>
      <c r="C112" s="289">
        <f>INDEX(AnnBS!$A$200:N$500,$A112,COLUMN()-COLUMN($A112))</f>
        <v>44834</v>
      </c>
      <c r="D112" s="289">
        <f>INDEX(AnnBS!$A$200:O$500,$A112,COLUMN()-COLUMN($A112))</f>
        <v>44469</v>
      </c>
      <c r="E112" s="289">
        <f>INDEX(AnnBS!$A$200:P$500,$A112,COLUMN()-COLUMN($A112))</f>
        <v>44104</v>
      </c>
      <c r="F112" s="289">
        <f>INDEX(AnnBS!$A$200:Q$500,$A112,COLUMN()-COLUMN($A112))</f>
        <v>43738</v>
      </c>
      <c r="G112" s="289">
        <f>INDEX(AnnBS!$A$200:R$500,$A112,COLUMN()-COLUMN($A112))</f>
        <v>43373</v>
      </c>
    </row>
    <row r="113" spans="1:15" x14ac:dyDescent="0.35">
      <c r="A113" s="185">
        <f>MATCH(B113,AnnBS!$A$200:$A$401,0)</f>
        <v>117</v>
      </c>
      <c r="B113" s="194" t="s">
        <v>321</v>
      </c>
      <c r="C113" s="289">
        <f>INDEX(AnnBS!$A$200:N$500,$A113,COLUMN()-COLUMN($A113))</f>
        <v>15908.1</v>
      </c>
      <c r="D113" s="289">
        <f>INDEX(AnnBS!$A$200:O$500,$A113,COLUMN()-COLUMN($A113))</f>
        <v>16406.400000000001</v>
      </c>
      <c r="E113" s="289">
        <f>INDEX(AnnBS!$A$200:P$500,$A113,COLUMN()-COLUMN($A113))</f>
        <v>17001.8</v>
      </c>
      <c r="F113" s="289">
        <f>INDEX(AnnBS!$A$200:Q$500,$A113,COLUMN()-COLUMN($A113))</f>
        <v>17773</v>
      </c>
      <c r="G113" s="289">
        <f>INDEX(AnnBS!$A$200:R$500,$A113,COLUMN()-COLUMN($A113))</f>
        <v>18981.599999999999</v>
      </c>
      <c r="I113" s="220">
        <f>IF(I106="no data","N/A",(I106*91.5)/C95)</f>
        <v>9.5804152036730195E-4</v>
      </c>
      <c r="J113" s="220">
        <f>IF(J106="no data","N/A",(J106*91.5)/D95)</f>
        <v>1.0791815829309644E-3</v>
      </c>
      <c r="K113" s="220">
        <f>IF(K106="no data","N/A",(K106*91.5)/E95)</f>
        <v>8.2781391562501043E-4</v>
      </c>
      <c r="L113" s="220">
        <f>IF(L106="no data","N/A",(L106*91.5)/F95)</f>
        <v>9.9194203113326632E-4</v>
      </c>
      <c r="M113" s="220" t="e">
        <f>IF(M106="no data","N/A",(M106*91.5)/G95)</f>
        <v>#VALUE!</v>
      </c>
      <c r="N113" s="199" t="s">
        <v>214</v>
      </c>
    </row>
    <row r="114" spans="1:15" x14ac:dyDescent="0.35">
      <c r="A114" s="185">
        <f>MATCH(B114,Income!$A$200:$A$415,0)</f>
        <v>95</v>
      </c>
      <c r="B114" s="185" t="s">
        <v>600</v>
      </c>
      <c r="C114" s="289">
        <f>INDEX(AnnBS!$A$200:N$500,$A114,COLUMN()-COLUMN($A114))</f>
        <v>0</v>
      </c>
      <c r="D114" s="289">
        <f>INDEX(AnnBS!$A$200:O$500,$A114,COLUMN()-COLUMN($A114))</f>
        <v>0</v>
      </c>
      <c r="E114" s="289">
        <f>INDEX(AnnBS!$A$200:P$500,$A114,COLUMN()-COLUMN($A114))</f>
        <v>0</v>
      </c>
      <c r="F114" s="289">
        <f>INDEX(AnnBS!$A$200:Q$500,$A114,COLUMN()-COLUMN($A114))</f>
        <v>0</v>
      </c>
      <c r="G114" s="289">
        <f>INDEX(AnnBS!$A$200:R$500,$A114,COLUMN()-COLUMN($A114))</f>
        <v>0</v>
      </c>
      <c r="I114" s="227">
        <f>IF(I107=0,"0",C95/C107)</f>
        <v>73.96219167003639</v>
      </c>
      <c r="J114" s="227">
        <f>IF(J107=0,"0",D95/D107)</f>
        <v>41.719604863221882</v>
      </c>
      <c r="K114" s="227">
        <f>IF(K107=0,"0",E95/E107)</f>
        <v>64.066486087170645</v>
      </c>
      <c r="L114" s="227">
        <f>IF(L107=0,"0",F95/F107)</f>
        <v>64.684607890891385</v>
      </c>
      <c r="M114" s="227" t="e">
        <f>IF(M107=0,"0",G95/G107)</f>
        <v>#VALUE!</v>
      </c>
      <c r="N114" s="199" t="s">
        <v>22</v>
      </c>
      <c r="O114" s="199"/>
    </row>
    <row r="115" spans="1:15" x14ac:dyDescent="0.35">
      <c r="C115" s="289"/>
      <c r="D115" s="289"/>
      <c r="E115" s="289"/>
      <c r="F115" s="289"/>
      <c r="G115" s="289"/>
      <c r="I115" s="228"/>
      <c r="J115" s="228"/>
      <c r="K115" s="228"/>
      <c r="L115" s="228"/>
      <c r="M115" s="228"/>
    </row>
    <row r="116" spans="1:15" x14ac:dyDescent="0.35">
      <c r="A116" s="185">
        <f>MATCH(B116,AnnBS!$A$200:$A$401,0)</f>
        <v>82</v>
      </c>
      <c r="B116" s="185" t="s">
        <v>47</v>
      </c>
      <c r="C116" s="289">
        <f>INDEX(AnnBS!$A$200:N$500,$A116,COLUMN()-COLUMN($A116))</f>
        <v>135405</v>
      </c>
      <c r="D116" s="289">
        <f>INDEX(AnnBS!$A$200:O$500,$A116,COLUMN()-COLUMN($A116))</f>
        <v>134836</v>
      </c>
      <c r="E116" s="289">
        <f>INDEX(AnnBS!$A$200:P$500,$A116,COLUMN()-COLUMN($A116))</f>
        <v>143713</v>
      </c>
      <c r="F116" s="289">
        <f>INDEX(AnnBS!$A$200:Q$500,$A116,COLUMN()-COLUMN($A116))</f>
        <v>162819</v>
      </c>
      <c r="G116" s="289">
        <f>INDEX(AnnBS!$A$200:R$500,$A116,COLUMN()-COLUMN($A116))</f>
        <v>131339</v>
      </c>
      <c r="J116" s="203">
        <f>(D116/C116)-1</f>
        <v>-4.2022081902440833E-3</v>
      </c>
      <c r="K116" s="203">
        <f>(E116/D116)-1</f>
        <v>6.5835533537037527E-2</v>
      </c>
      <c r="L116" s="203">
        <f>(F116/E116)-1</f>
        <v>0.13294552336949339</v>
      </c>
      <c r="M116" s="203">
        <f>(G116/F116)-1</f>
        <v>-0.19334352870365257</v>
      </c>
      <c r="N116" s="185" t="s">
        <v>278</v>
      </c>
    </row>
    <row r="117" spans="1:15" x14ac:dyDescent="0.35">
      <c r="A117" s="185">
        <f>MATCH(B117,AnnBS!$A$200:$A$401,0)</f>
        <v>98</v>
      </c>
      <c r="B117" s="185" t="s">
        <v>50</v>
      </c>
      <c r="C117" s="289">
        <f>INDEX(AnnBS!$A$200:N$500,$A117,COLUMN()-COLUMN($A117))</f>
        <v>153982</v>
      </c>
      <c r="D117" s="289">
        <f>INDEX(AnnBS!$A$200:O$500,$A117,COLUMN()-COLUMN($A117))</f>
        <v>125481</v>
      </c>
      <c r="E117" s="289">
        <f>INDEX(AnnBS!$A$200:P$500,$A117,COLUMN()-COLUMN($A117))</f>
        <v>105392</v>
      </c>
      <c r="F117" s="289">
        <f>INDEX(AnnBS!$A$200:Q$500,$A117,COLUMN()-COLUMN($A117))</f>
        <v>105718</v>
      </c>
      <c r="G117" s="289">
        <f>INDEX(AnnBS!$A$200:R$500,$A117,COLUMN()-COLUMN($A117))</f>
        <v>116866</v>
      </c>
    </row>
    <row r="118" spans="1:15" x14ac:dyDescent="0.35">
      <c r="B118" s="221"/>
      <c r="C118" s="289" t="e">
        <f>INDEX(AnnBS!$A$200:N$500,$A118,COLUMN()-COLUMN($A118))</f>
        <v>#VALUE!</v>
      </c>
      <c r="D118" s="289" t="e">
        <f>INDEX(AnnBS!$A$200:O$500,$A118,COLUMN()-COLUMN($A118))</f>
        <v>#VALUE!</v>
      </c>
      <c r="E118" s="289" t="e">
        <f>INDEX(AnnBS!$A$200:P$500,$A118,COLUMN()-COLUMN($A118))</f>
        <v>#VALUE!</v>
      </c>
      <c r="F118" s="289" t="e">
        <f>INDEX(AnnBS!$A$200:Q$500,$A118,COLUMN()-COLUMN($A118))</f>
        <v>#VALUE!</v>
      </c>
      <c r="G118" s="289" t="e">
        <f>INDEX(AnnBS!$A$200:R$500,$A118,COLUMN()-COLUMN($A118))</f>
        <v>#VALUE!</v>
      </c>
      <c r="I118" s="289">
        <f>G120</f>
        <v>93735</v>
      </c>
      <c r="J118" s="289">
        <f>F120</f>
        <v>91807</v>
      </c>
      <c r="K118" s="289">
        <f>E120</f>
        <v>98667</v>
      </c>
      <c r="L118" s="206">
        <f>D120</f>
        <v>109106</v>
      </c>
      <c r="M118" s="206">
        <f>C120</f>
        <v>98959</v>
      </c>
      <c r="N118" s="185" t="s">
        <v>495</v>
      </c>
    </row>
    <row r="119" spans="1:15" x14ac:dyDescent="0.35">
      <c r="A119" s="185">
        <f>MATCH(B119,AnnBS!$A$200:$A$401,0)</f>
        <v>117</v>
      </c>
      <c r="B119" s="185" t="s">
        <v>321</v>
      </c>
      <c r="C119" s="289">
        <f>INDEX(AnnBS!$A$200:N$500,$A119,COLUMN()-COLUMN($A119))</f>
        <v>15908.1</v>
      </c>
      <c r="D119" s="289">
        <f>INDEX(AnnBS!$A$200:O$500,$A119,COLUMN()-COLUMN($A119))</f>
        <v>16406.400000000001</v>
      </c>
      <c r="E119" s="289">
        <f>INDEX(AnnBS!$A$200:P$500,$A119,COLUMN()-COLUMN($A119))</f>
        <v>17001.8</v>
      </c>
      <c r="F119" s="289">
        <f>INDEX(AnnBS!$A$200:Q$500,$A119,COLUMN()-COLUMN($A119))</f>
        <v>17773</v>
      </c>
      <c r="G119" s="289">
        <f>INDEX(AnnBS!$A$200:R$500,$A119,COLUMN()-COLUMN($A119))</f>
        <v>18981.599999999999</v>
      </c>
      <c r="I119" s="236">
        <f>C119</f>
        <v>15908.1</v>
      </c>
      <c r="J119" s="236">
        <f>D119</f>
        <v>16406.400000000001</v>
      </c>
      <c r="K119" s="236">
        <f>E119</f>
        <v>17001.8</v>
      </c>
      <c r="L119" s="236">
        <f>F119</f>
        <v>17773</v>
      </c>
      <c r="M119" s="236">
        <f>G119</f>
        <v>18981.599999999999</v>
      </c>
      <c r="N119" s="185" t="s">
        <v>230</v>
      </c>
    </row>
    <row r="120" spans="1:15" x14ac:dyDescent="0.35">
      <c r="A120" s="185">
        <f>MATCH(B120,AnnBS!$A$200:$A$401,0)</f>
        <v>102</v>
      </c>
      <c r="B120" s="185" t="s">
        <v>495</v>
      </c>
      <c r="C120" s="289">
        <f>INDEX(AnnBS!$A$200:N$500,$A120,COLUMN()-COLUMN($A120))</f>
        <v>98959</v>
      </c>
      <c r="D120" s="289">
        <f>INDEX(AnnBS!$A$200:O$500,$A120,COLUMN()-COLUMN($A120))</f>
        <v>109106</v>
      </c>
      <c r="E120" s="289">
        <f>INDEX(AnnBS!$A$200:P$500,$A120,COLUMN()-COLUMN($A120))</f>
        <v>98667</v>
      </c>
      <c r="F120" s="289">
        <f>INDEX(AnnBS!$A$200:Q$500,$A120,COLUMN()-COLUMN($A120))</f>
        <v>91807</v>
      </c>
      <c r="G120" s="289">
        <f>INDEX(AnnBS!$A$200:R$500,$A120,COLUMN()-COLUMN($A120))</f>
        <v>93735</v>
      </c>
      <c r="I120" s="212">
        <f>(C116-C107)/C117</f>
        <v>0.84723539114961488</v>
      </c>
      <c r="J120" s="212">
        <f>(D116-D107)/D117</f>
        <v>1.0221149018576519</v>
      </c>
      <c r="K120" s="212">
        <f>(E116-E107)/E117</f>
        <v>1.325072111735236</v>
      </c>
      <c r="L120" s="212">
        <f>(F116-F107)/F117</f>
        <v>1.501286441287198</v>
      </c>
      <c r="M120" s="212">
        <f>(G116-G107)/G117</f>
        <v>1.0899919565998666</v>
      </c>
      <c r="N120" s="199" t="s">
        <v>19</v>
      </c>
      <c r="O120" s="199"/>
    </row>
    <row r="121" spans="1:15" x14ac:dyDescent="0.35">
      <c r="C121" s="194"/>
      <c r="D121" s="194"/>
      <c r="E121" s="194"/>
      <c r="F121" s="194"/>
      <c r="G121" s="194"/>
      <c r="I121" s="212">
        <f>C116/C117</f>
        <v>0.87935602862672257</v>
      </c>
      <c r="J121" s="212">
        <f>D116/D117</f>
        <v>1.0745531195957954</v>
      </c>
      <c r="K121" s="212">
        <f>E116/E117</f>
        <v>1.3636044481554577</v>
      </c>
      <c r="L121" s="212">
        <f>F116/F117</f>
        <v>1.540125617208044</v>
      </c>
      <c r="M121" s="212">
        <f>G116/G117</f>
        <v>1.1238426916297297</v>
      </c>
      <c r="N121" s="199" t="s">
        <v>18</v>
      </c>
      <c r="O121" s="199"/>
    </row>
    <row r="122" spans="1:15" x14ac:dyDescent="0.35">
      <c r="C122" s="194"/>
      <c r="D122" s="194"/>
      <c r="E122" s="194"/>
      <c r="F122" s="194"/>
      <c r="G122" s="194"/>
      <c r="I122" s="294">
        <f>C97/C116</f>
        <v>0.69923562645397142</v>
      </c>
      <c r="J122" s="294">
        <f>D97/D116</f>
        <v>0.42578391527485243</v>
      </c>
      <c r="K122" s="294">
        <f>E97/E116</f>
        <v>0.38448852922143439</v>
      </c>
      <c r="L122" s="294">
        <f>F97/F116</f>
        <v>0.36562686172989639</v>
      </c>
      <c r="M122" s="294" t="e">
        <f>G97/G116</f>
        <v>#VALUE!</v>
      </c>
      <c r="N122" s="199" t="s">
        <v>162</v>
      </c>
      <c r="O122" s="199"/>
    </row>
    <row r="123" spans="1:15" x14ac:dyDescent="0.35">
      <c r="A123" s="185">
        <f>MATCH(B123,'Bond rate'!A$1:A$497,0)</f>
        <v>406</v>
      </c>
      <c r="B123" s="185" t="s">
        <v>259</v>
      </c>
      <c r="C123" s="224">
        <f>INDEX('Bond rate'!$A$1:$C$497,$A123,COLUMN()-COLUMN($A123))</f>
        <v>3.92</v>
      </c>
      <c r="D123" s="194"/>
      <c r="E123" s="194"/>
      <c r="F123" s="194"/>
      <c r="G123" s="194"/>
      <c r="I123" s="212">
        <f>I97/C112</f>
        <v>33594.569032430743</v>
      </c>
      <c r="J123" s="212">
        <f>J97/D112</f>
        <v>21181.223557984216</v>
      </c>
      <c r="K123" s="212">
        <f>K97/E112</f>
        <v>21300.822165789948</v>
      </c>
      <c r="L123" s="212">
        <f>L97/F112</f>
        <v>24190.508550916824</v>
      </c>
      <c r="M123" s="212" t="e">
        <f>M97/G112</f>
        <v>#VALUE!</v>
      </c>
      <c r="N123" s="199" t="s">
        <v>309</v>
      </c>
      <c r="O123" s="199"/>
    </row>
    <row r="124" spans="1:15" x14ac:dyDescent="0.35">
      <c r="C124" s="194"/>
      <c r="D124" s="194"/>
      <c r="E124" s="194"/>
      <c r="F124" s="194"/>
      <c r="G124" s="194"/>
      <c r="I124" s="212"/>
      <c r="J124" s="212"/>
      <c r="K124" s="212"/>
      <c r="L124" s="212"/>
      <c r="M124" s="212"/>
      <c r="N124" s="199" t="s">
        <v>310</v>
      </c>
      <c r="O124" s="199"/>
    </row>
    <row r="125" spans="1:15" x14ac:dyDescent="0.35">
      <c r="C125" s="223"/>
      <c r="D125" s="223"/>
      <c r="E125" s="223"/>
      <c r="F125" s="223"/>
      <c r="G125" s="223"/>
      <c r="I125" s="275"/>
      <c r="J125" s="275"/>
      <c r="K125" s="275"/>
      <c r="L125" s="275"/>
      <c r="M125" s="275"/>
    </row>
    <row r="126" spans="1:15" x14ac:dyDescent="0.35">
      <c r="D126" s="237"/>
      <c r="E126" s="224"/>
      <c r="F126" s="223"/>
      <c r="G126" s="223"/>
      <c r="I126" s="229"/>
      <c r="J126" s="229"/>
      <c r="K126" s="229"/>
      <c r="L126" s="229"/>
      <c r="M126" s="229"/>
    </row>
    <row r="127" spans="1:15" x14ac:dyDescent="0.35">
      <c r="C127" s="224"/>
      <c r="I127" s="229"/>
      <c r="J127" s="229"/>
      <c r="K127" s="229"/>
      <c r="L127" s="229"/>
      <c r="M127" s="229"/>
    </row>
    <row r="128" spans="1:15" x14ac:dyDescent="0.35">
      <c r="B128" s="230"/>
      <c r="C128" s="231"/>
      <c r="D128" s="231"/>
      <c r="E128" s="232"/>
      <c r="F128" s="231"/>
      <c r="G128" s="231"/>
      <c r="H128" s="233"/>
      <c r="I128" s="233"/>
      <c r="J128" s="233"/>
      <c r="K128" s="233"/>
      <c r="L128" s="233"/>
      <c r="M128" s="233"/>
      <c r="N128" s="233"/>
      <c r="O128" s="233"/>
    </row>
    <row r="129" spans="2:12" x14ac:dyDescent="0.35">
      <c r="B129" s="187"/>
      <c r="C129" s="187" t="s">
        <v>292</v>
      </c>
    </row>
    <row r="130" spans="2:12" x14ac:dyDescent="0.35">
      <c r="B130" s="187"/>
      <c r="C130" s="187" t="s">
        <v>293</v>
      </c>
      <c r="I130" s="210"/>
    </row>
    <row r="131" spans="2:12" x14ac:dyDescent="0.35">
      <c r="B131" s="187"/>
      <c r="C131" s="187"/>
      <c r="I131" s="205"/>
    </row>
    <row r="132" spans="2:12" x14ac:dyDescent="0.35">
      <c r="B132" s="187"/>
      <c r="C132" s="334" t="s">
        <v>294</v>
      </c>
    </row>
    <row r="133" spans="2:12" x14ac:dyDescent="0.35">
      <c r="B133" s="187" t="s">
        <v>553</v>
      </c>
      <c r="C133" s="399"/>
    </row>
    <row r="134" spans="2:12" x14ac:dyDescent="0.35">
      <c r="B134" s="187"/>
      <c r="C134" s="399" t="s">
        <v>295</v>
      </c>
      <c r="I134" s="203"/>
    </row>
    <row r="135" spans="2:12" x14ac:dyDescent="0.35">
      <c r="B135" s="187"/>
      <c r="C135" s="334" t="s">
        <v>296</v>
      </c>
    </row>
    <row r="136" spans="2:12" x14ac:dyDescent="0.35">
      <c r="B136" s="187"/>
      <c r="C136" s="399"/>
      <c r="E136" s="217"/>
    </row>
    <row r="137" spans="2:12" x14ac:dyDescent="0.35">
      <c r="B137" s="187"/>
      <c r="C137" s="334" t="s">
        <v>297</v>
      </c>
      <c r="F137" s="210"/>
      <c r="L137" s="210"/>
    </row>
    <row r="138" spans="2:12" x14ac:dyDescent="0.35">
      <c r="B138" s="187"/>
      <c r="C138" s="399"/>
      <c r="F138" s="210"/>
      <c r="I138" s="205"/>
      <c r="L138" s="210"/>
    </row>
    <row r="139" spans="2:12" x14ac:dyDescent="0.35">
      <c r="B139" s="187"/>
      <c r="C139" s="334" t="s">
        <v>298</v>
      </c>
      <c r="F139" s="210"/>
      <c r="L139" s="210"/>
    </row>
    <row r="140" spans="2:12" x14ac:dyDescent="0.35">
      <c r="B140" s="187"/>
      <c r="C140" s="334" t="s">
        <v>299</v>
      </c>
      <c r="F140" s="210"/>
      <c r="I140" s="205"/>
      <c r="L140" s="210"/>
    </row>
    <row r="141" spans="2:12" x14ac:dyDescent="0.35">
      <c r="B141" s="187"/>
      <c r="C141" s="334" t="s">
        <v>300</v>
      </c>
      <c r="F141" s="210"/>
      <c r="I141" s="205"/>
      <c r="L141" s="210"/>
    </row>
    <row r="142" spans="2:12" x14ac:dyDescent="0.35">
      <c r="B142" s="187"/>
      <c r="C142" s="334" t="s">
        <v>301</v>
      </c>
      <c r="F142" s="210"/>
      <c r="L142" s="210"/>
    </row>
    <row r="143" spans="2:12" x14ac:dyDescent="0.35">
      <c r="B143" s="187"/>
      <c r="C143" s="399"/>
      <c r="F143" s="210"/>
      <c r="I143" s="234"/>
      <c r="L143" s="210"/>
    </row>
    <row r="144" spans="2:12" x14ac:dyDescent="0.35">
      <c r="B144" s="187"/>
      <c r="C144" s="334" t="s">
        <v>302</v>
      </c>
      <c r="F144" s="210"/>
      <c r="L144" s="210"/>
    </row>
    <row r="145" spans="2:12" x14ac:dyDescent="0.35">
      <c r="B145" s="187"/>
      <c r="C145" s="399"/>
      <c r="F145" s="210"/>
      <c r="I145" s="203"/>
      <c r="L145" s="210"/>
    </row>
    <row r="146" spans="2:12" x14ac:dyDescent="0.35">
      <c r="B146" s="187"/>
      <c r="C146" s="334" t="s">
        <v>303</v>
      </c>
      <c r="F146" s="210"/>
      <c r="I146" s="210"/>
      <c r="L146" s="210"/>
    </row>
    <row r="147" spans="2:12" x14ac:dyDescent="0.35">
      <c r="B147" s="187"/>
      <c r="C147" s="334" t="s">
        <v>304</v>
      </c>
      <c r="F147" s="210"/>
      <c r="L147" s="210"/>
    </row>
    <row r="148" spans="2:12" x14ac:dyDescent="0.35">
      <c r="B148" s="187"/>
      <c r="C148" s="334" t="s">
        <v>305</v>
      </c>
      <c r="F148" s="210"/>
      <c r="I148" s="210"/>
      <c r="L148" s="210"/>
    </row>
    <row r="149" spans="2:12" x14ac:dyDescent="0.35">
      <c r="B149" s="187"/>
      <c r="C149" s="334" t="s">
        <v>306</v>
      </c>
    </row>
    <row r="150" spans="2:12" x14ac:dyDescent="0.35">
      <c r="B150" s="187"/>
      <c r="I150" s="210"/>
    </row>
    <row r="151" spans="2:12" ht="35.25" customHeight="1" x14ac:dyDescent="0.35">
      <c r="B151" s="336" t="s">
        <v>328</v>
      </c>
    </row>
    <row r="152" spans="2:12" x14ac:dyDescent="0.35">
      <c r="C152" s="334" t="s">
        <v>296</v>
      </c>
      <c r="H152" s="185"/>
      <c r="I152" s="205"/>
    </row>
    <row r="153" spans="2:12" x14ac:dyDescent="0.35">
      <c r="H153" s="185"/>
    </row>
    <row r="154" spans="2:12" x14ac:dyDescent="0.35">
      <c r="C154" s="286" t="s">
        <v>303</v>
      </c>
      <c r="H154" s="185"/>
    </row>
    <row r="155" spans="2:12" x14ac:dyDescent="0.35">
      <c r="C155" s="286" t="s">
        <v>304</v>
      </c>
      <c r="H155" s="185"/>
    </row>
    <row r="156" spans="2:12" x14ac:dyDescent="0.35">
      <c r="C156" s="286" t="s">
        <v>305</v>
      </c>
      <c r="H156" s="185"/>
    </row>
    <row r="157" spans="2:12" x14ac:dyDescent="0.35">
      <c r="C157" s="286" t="s">
        <v>306</v>
      </c>
      <c r="H157" s="185"/>
    </row>
    <row r="158" spans="2:12" x14ac:dyDescent="0.35">
      <c r="H158" s="185"/>
    </row>
    <row r="159" spans="2:12" x14ac:dyDescent="0.35">
      <c r="H159" s="185"/>
    </row>
    <row r="160" spans="2:12" x14ac:dyDescent="0.35">
      <c r="H160" s="185"/>
    </row>
    <row r="161" spans="3:11" x14ac:dyDescent="0.35">
      <c r="H161" s="185"/>
    </row>
    <row r="162" spans="3:11" x14ac:dyDescent="0.35">
      <c r="H162" s="185"/>
    </row>
    <row r="163" spans="3:11" x14ac:dyDescent="0.35">
      <c r="H163" s="185"/>
    </row>
    <row r="164" spans="3:11" x14ac:dyDescent="0.35">
      <c r="C164" s="333" t="s">
        <v>222</v>
      </c>
      <c r="D164" s="332"/>
      <c r="E164" s="332"/>
      <c r="F164" s="332"/>
      <c r="H164" s="185"/>
    </row>
    <row r="165" spans="3:11" x14ac:dyDescent="0.35">
      <c r="C165" s="333" t="s">
        <v>223</v>
      </c>
      <c r="D165" s="332"/>
      <c r="E165" s="332"/>
      <c r="F165" s="332"/>
      <c r="H165" s="185"/>
    </row>
    <row r="166" spans="3:11" x14ac:dyDescent="0.35">
      <c r="C166" s="333"/>
      <c r="D166" s="332"/>
      <c r="E166" s="332"/>
      <c r="F166" s="332"/>
      <c r="H166" s="185"/>
    </row>
    <row r="167" spans="3:11" x14ac:dyDescent="0.35">
      <c r="C167" s="333" t="s">
        <v>320</v>
      </c>
      <c r="D167" s="332"/>
      <c r="E167" s="332"/>
      <c r="F167" s="332"/>
      <c r="H167" s="185"/>
    </row>
    <row r="168" spans="3:11" x14ac:dyDescent="0.35">
      <c r="C168" s="185" t="s">
        <v>646</v>
      </c>
      <c r="H168" s="185"/>
      <c r="J168" s="381" t="s">
        <v>648</v>
      </c>
      <c r="K168" s="202" t="s">
        <v>647</v>
      </c>
    </row>
    <row r="169" spans="3:11" ht="16.2" x14ac:dyDescent="0.35">
      <c r="C169" s="336" t="s">
        <v>661</v>
      </c>
      <c r="H169" s="185"/>
    </row>
    <row r="170" spans="3:11" x14ac:dyDescent="0.35">
      <c r="C170" s="215" t="s">
        <v>662</v>
      </c>
      <c r="H170" s="185"/>
    </row>
    <row r="171" spans="3:11" x14ac:dyDescent="0.35">
      <c r="H171" s="185"/>
    </row>
    <row r="172" spans="3:11" x14ac:dyDescent="0.35">
      <c r="C172" s="185" t="s">
        <v>222</v>
      </c>
      <c r="H172" s="185"/>
    </row>
  </sheetData>
  <phoneticPr fontId="53" type="noConversion"/>
  <pageMargins left="0.75" right="0.75" top="1" bottom="1" header="0.5" footer="0.5"/>
  <pageSetup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sheetPr>
  <dimension ref="A1:T826"/>
  <sheetViews>
    <sheetView topLeftCell="A192" workbookViewId="0">
      <selection activeCell="A213" sqref="A213"/>
    </sheetView>
  </sheetViews>
  <sheetFormatPr defaultColWidth="9" defaultRowHeight="12" x14ac:dyDescent="0.2"/>
  <cols>
    <col min="1" max="1" width="41.88671875" bestFit="1" customWidth="1"/>
    <col min="2" max="2" width="12" bestFit="1" customWidth="1"/>
    <col min="3" max="3" width="18.21875" bestFit="1" customWidth="1"/>
    <col min="4" max="6" width="11" bestFit="1" customWidth="1"/>
    <col min="7" max="7" width="8.88671875" customWidth="1"/>
    <col min="8" max="8" width="2.21875" customWidth="1"/>
    <col min="9" max="9" width="16.21875" customWidth="1"/>
    <col min="10" max="10" width="27.44140625" customWidth="1"/>
    <col min="11" max="11" width="2.6640625" customWidth="1"/>
    <col min="12" max="13" width="10.88671875" customWidth="1"/>
    <col min="14" max="14" width="4" customWidth="1"/>
    <col min="15" max="15" width="11.77734375" customWidth="1"/>
    <col min="16" max="16" width="11.109375" customWidth="1"/>
    <col min="17" max="20" width="13" bestFit="1" customWidth="1"/>
  </cols>
  <sheetData>
    <row r="1" spans="1:20" x14ac:dyDescent="0.2">
      <c r="A1" s="186" t="str">
        <f>Analysis!E2</f>
        <v>aapl</v>
      </c>
      <c r="B1" s="187"/>
    </row>
    <row r="2" spans="1:20" x14ac:dyDescent="0.2">
      <c r="A2" t="s">
        <v>583</v>
      </c>
      <c r="Q2" s="298"/>
      <c r="R2" s="298"/>
      <c r="S2" s="298"/>
      <c r="T2" s="298"/>
    </row>
    <row r="3" spans="1:20" x14ac:dyDescent="0.2">
      <c r="A3" t="s">
        <v>822</v>
      </c>
    </row>
    <row r="4" spans="1:20" x14ac:dyDescent="0.2">
      <c r="A4" t="s">
        <v>1093</v>
      </c>
      <c r="Q4" s="347"/>
      <c r="R4" s="347"/>
      <c r="S4" s="347"/>
      <c r="T4" s="347"/>
    </row>
    <row r="5" spans="1:20" x14ac:dyDescent="0.2">
      <c r="A5" t="s">
        <v>944</v>
      </c>
    </row>
    <row r="7" spans="1:20" x14ac:dyDescent="0.2">
      <c r="A7" t="s">
        <v>1020</v>
      </c>
      <c r="Q7" s="347"/>
      <c r="R7" s="347"/>
      <c r="S7" s="347"/>
      <c r="T7" s="347"/>
    </row>
    <row r="8" spans="1:20" x14ac:dyDescent="0.2">
      <c r="A8" t="s">
        <v>313</v>
      </c>
    </row>
    <row r="9" spans="1:20" x14ac:dyDescent="0.2">
      <c r="A9" t="s">
        <v>384</v>
      </c>
      <c r="Q9" s="347"/>
      <c r="R9" s="347"/>
      <c r="S9" s="347"/>
      <c r="T9" s="347"/>
    </row>
    <row r="10" spans="1:20" x14ac:dyDescent="0.2">
      <c r="A10" t="s">
        <v>665</v>
      </c>
    </row>
    <row r="11" spans="1:20" x14ac:dyDescent="0.2">
      <c r="A11" t="s">
        <v>666</v>
      </c>
    </row>
    <row r="12" spans="1:20" x14ac:dyDescent="0.2">
      <c r="A12" t="s">
        <v>385</v>
      </c>
      <c r="Q12" s="347"/>
      <c r="R12" s="347"/>
      <c r="S12" s="347"/>
      <c r="T12" s="347"/>
    </row>
    <row r="13" spans="1:20" x14ac:dyDescent="0.2">
      <c r="A13" t="s">
        <v>584</v>
      </c>
    </row>
    <row r="14" spans="1:20" x14ac:dyDescent="0.2">
      <c r="A14" t="s">
        <v>386</v>
      </c>
    </row>
    <row r="15" spans="1:20" x14ac:dyDescent="0.2">
      <c r="Q15" s="347"/>
      <c r="R15" s="347"/>
      <c r="S15" s="347"/>
      <c r="T15" s="347"/>
    </row>
    <row r="16" spans="1:20" x14ac:dyDescent="0.2">
      <c r="A16" t="s">
        <v>514</v>
      </c>
    </row>
    <row r="18" spans="1:20" x14ac:dyDescent="0.2">
      <c r="A18" t="s">
        <v>241</v>
      </c>
      <c r="Q18" s="347"/>
      <c r="R18" s="347"/>
      <c r="S18" s="347"/>
      <c r="T18" s="347"/>
    </row>
    <row r="19" spans="1:20" x14ac:dyDescent="0.2">
      <c r="A19" t="s">
        <v>784</v>
      </c>
    </row>
    <row r="21" spans="1:20" x14ac:dyDescent="0.2">
      <c r="A21" t="s">
        <v>336</v>
      </c>
    </row>
    <row r="22" spans="1:20" x14ac:dyDescent="0.2">
      <c r="A22" t="s">
        <v>337</v>
      </c>
      <c r="Q22" s="347"/>
      <c r="R22" s="347"/>
      <c r="S22" s="347"/>
      <c r="T22" s="347"/>
    </row>
    <row r="23" spans="1:20" x14ac:dyDescent="0.2">
      <c r="A23" t="s">
        <v>338</v>
      </c>
    </row>
    <row r="24" spans="1:20" x14ac:dyDescent="0.2">
      <c r="A24" t="s">
        <v>339</v>
      </c>
      <c r="Q24" s="347"/>
      <c r="R24" s="347"/>
      <c r="S24" s="347"/>
      <c r="T24" s="347"/>
    </row>
    <row r="25" spans="1:20" x14ac:dyDescent="0.2">
      <c r="A25" t="s">
        <v>507</v>
      </c>
    </row>
    <row r="26" spans="1:20" x14ac:dyDescent="0.2">
      <c r="A26" t="s">
        <v>340</v>
      </c>
    </row>
    <row r="27" spans="1:20" x14ac:dyDescent="0.2">
      <c r="A27" t="s">
        <v>341</v>
      </c>
      <c r="Q27" s="347"/>
      <c r="R27" s="347"/>
      <c r="S27" s="347"/>
      <c r="T27" s="347"/>
    </row>
    <row r="29" spans="1:20" x14ac:dyDescent="0.2">
      <c r="A29" t="s">
        <v>785</v>
      </c>
    </row>
    <row r="30" spans="1:20" x14ac:dyDescent="0.2">
      <c r="Q30" s="347"/>
      <c r="R30" s="347"/>
      <c r="S30" s="347"/>
      <c r="T30" s="347"/>
    </row>
    <row r="31" spans="1:20" x14ac:dyDescent="0.2">
      <c r="A31" t="s">
        <v>342</v>
      </c>
    </row>
    <row r="32" spans="1:20" x14ac:dyDescent="0.2">
      <c r="A32" t="s">
        <v>343</v>
      </c>
      <c r="Q32" s="347"/>
      <c r="R32" s="347"/>
      <c r="S32" s="347"/>
      <c r="T32" s="347"/>
    </row>
    <row r="33" spans="1:20" x14ac:dyDescent="0.2">
      <c r="A33" t="s">
        <v>242</v>
      </c>
    </row>
    <row r="34" spans="1:20" x14ac:dyDescent="0.2">
      <c r="A34" t="s">
        <v>344</v>
      </c>
    </row>
    <row r="35" spans="1:20" x14ac:dyDescent="0.2">
      <c r="A35" t="s">
        <v>345</v>
      </c>
      <c r="Q35" s="347"/>
      <c r="R35" s="347"/>
      <c r="S35" s="347"/>
      <c r="T35" s="347"/>
    </row>
    <row r="36" spans="1:20" x14ac:dyDescent="0.2">
      <c r="A36" t="s">
        <v>346</v>
      </c>
    </row>
    <row r="37" spans="1:20" x14ac:dyDescent="0.2">
      <c r="Q37" s="347"/>
      <c r="R37" s="347"/>
      <c r="S37" s="347"/>
      <c r="T37" s="347"/>
    </row>
    <row r="38" spans="1:20" x14ac:dyDescent="0.2">
      <c r="A38" t="s">
        <v>861</v>
      </c>
    </row>
    <row r="39" spans="1:20" x14ac:dyDescent="0.2">
      <c r="A39" t="s">
        <v>786</v>
      </c>
    </row>
    <row r="41" spans="1:20" x14ac:dyDescent="0.2">
      <c r="A41" t="s">
        <v>347</v>
      </c>
      <c r="Q41" s="347"/>
      <c r="R41" s="347"/>
      <c r="S41" s="347"/>
      <c r="T41" s="347"/>
    </row>
    <row r="42" spans="1:20" x14ac:dyDescent="0.2">
      <c r="A42" t="s">
        <v>348</v>
      </c>
    </row>
    <row r="43" spans="1:20" x14ac:dyDescent="0.2">
      <c r="A43" t="s">
        <v>349</v>
      </c>
    </row>
    <row r="44" spans="1:20" x14ac:dyDescent="0.2">
      <c r="A44" t="s">
        <v>350</v>
      </c>
      <c r="Q44" s="347"/>
      <c r="R44" s="347"/>
      <c r="S44" s="347"/>
      <c r="T44" s="347"/>
    </row>
    <row r="45" spans="1:20" x14ac:dyDescent="0.2">
      <c r="A45" t="s">
        <v>508</v>
      </c>
    </row>
    <row r="47" spans="1:20" x14ac:dyDescent="0.2">
      <c r="A47" t="s">
        <v>787</v>
      </c>
      <c r="Q47" s="347"/>
      <c r="R47" s="347"/>
      <c r="S47" s="347"/>
      <c r="T47" s="347"/>
    </row>
    <row r="49" spans="1:20" x14ac:dyDescent="0.2">
      <c r="A49" t="s">
        <v>351</v>
      </c>
    </row>
    <row r="50" spans="1:20" x14ac:dyDescent="0.2">
      <c r="A50" t="s">
        <v>352</v>
      </c>
      <c r="Q50" s="347"/>
      <c r="R50" s="347"/>
      <c r="S50" s="347"/>
      <c r="T50" s="347"/>
    </row>
    <row r="51" spans="1:20" x14ac:dyDescent="0.2">
      <c r="A51" t="s">
        <v>344</v>
      </c>
    </row>
    <row r="52" spans="1:20" x14ac:dyDescent="0.2">
      <c r="A52" t="s">
        <v>345</v>
      </c>
    </row>
    <row r="53" spans="1:20" x14ac:dyDescent="0.2">
      <c r="A53" t="s">
        <v>353</v>
      </c>
      <c r="Q53" s="347"/>
      <c r="R53" s="347"/>
      <c r="S53" s="347"/>
      <c r="T53" s="347"/>
    </row>
    <row r="54" spans="1:20" x14ac:dyDescent="0.2">
      <c r="A54" t="s">
        <v>354</v>
      </c>
    </row>
    <row r="56" spans="1:20" x14ac:dyDescent="0.2">
      <c r="A56" t="s">
        <v>788</v>
      </c>
      <c r="Q56" s="347"/>
      <c r="R56" s="347"/>
      <c r="S56" s="347"/>
      <c r="T56" s="347"/>
    </row>
    <row r="58" spans="1:20" x14ac:dyDescent="0.2">
      <c r="A58" t="s">
        <v>355</v>
      </c>
    </row>
    <row r="59" spans="1:20" x14ac:dyDescent="0.2">
      <c r="A59" t="s">
        <v>356</v>
      </c>
      <c r="Q59" s="347"/>
      <c r="R59" s="347"/>
      <c r="S59" s="347"/>
      <c r="T59" s="347"/>
    </row>
    <row r="60" spans="1:20" x14ac:dyDescent="0.2">
      <c r="A60" t="s">
        <v>332</v>
      </c>
    </row>
    <row r="61" spans="1:20" x14ac:dyDescent="0.2">
      <c r="A61" t="s">
        <v>357</v>
      </c>
      <c r="Q61" s="347"/>
      <c r="R61" s="347"/>
      <c r="S61" s="347"/>
      <c r="T61" s="347"/>
    </row>
    <row r="62" spans="1:20" x14ac:dyDescent="0.2">
      <c r="A62" t="s">
        <v>358</v>
      </c>
    </row>
    <row r="63" spans="1:20" x14ac:dyDescent="0.2">
      <c r="A63" t="s">
        <v>359</v>
      </c>
      <c r="Q63" s="347"/>
      <c r="R63" s="347"/>
      <c r="S63" s="347"/>
      <c r="T63" s="347"/>
    </row>
    <row r="64" spans="1:20" x14ac:dyDescent="0.2">
      <c r="A64" t="s">
        <v>360</v>
      </c>
    </row>
    <row r="65" spans="1:20" x14ac:dyDescent="0.2">
      <c r="Q65" s="347"/>
      <c r="R65" s="347"/>
      <c r="S65" s="347"/>
      <c r="T65" s="347"/>
    </row>
    <row r="66" spans="1:20" x14ac:dyDescent="0.2">
      <c r="A66" t="s">
        <v>789</v>
      </c>
    </row>
    <row r="68" spans="1:20" x14ac:dyDescent="0.2">
      <c r="A68" t="s">
        <v>361</v>
      </c>
    </row>
    <row r="69" spans="1:20" x14ac:dyDescent="0.2">
      <c r="A69" t="s">
        <v>362</v>
      </c>
      <c r="Q69" s="347"/>
      <c r="R69" s="347"/>
      <c r="S69" s="347"/>
      <c r="T69" s="347"/>
    </row>
    <row r="71" spans="1:20" x14ac:dyDescent="0.2">
      <c r="A71" t="s">
        <v>790</v>
      </c>
      <c r="Q71" s="347"/>
      <c r="R71" s="347"/>
      <c r="S71" s="347"/>
      <c r="T71" s="347"/>
    </row>
    <row r="73" spans="1:20" x14ac:dyDescent="0.2">
      <c r="A73" t="s">
        <v>363</v>
      </c>
      <c r="Q73" s="347"/>
      <c r="R73" s="347"/>
      <c r="S73" s="347"/>
      <c r="T73" s="347"/>
    </row>
    <row r="74" spans="1:20" x14ac:dyDescent="0.2">
      <c r="A74" t="s">
        <v>336</v>
      </c>
    </row>
    <row r="75" spans="1:20" x14ac:dyDescent="0.2">
      <c r="A75" t="s">
        <v>364</v>
      </c>
    </row>
    <row r="76" spans="1:20" x14ac:dyDescent="0.2">
      <c r="A76" t="s">
        <v>342</v>
      </c>
      <c r="Q76" s="347"/>
      <c r="R76" s="347"/>
      <c r="S76" s="347"/>
      <c r="T76" s="347"/>
    </row>
    <row r="77" spans="1:20" x14ac:dyDescent="0.2">
      <c r="A77" t="s">
        <v>350</v>
      </c>
    </row>
    <row r="78" spans="1:20" x14ac:dyDescent="0.2">
      <c r="A78" t="s">
        <v>351</v>
      </c>
      <c r="Q78" s="347"/>
      <c r="R78" s="347"/>
      <c r="S78" s="347"/>
      <c r="T78" s="347"/>
    </row>
    <row r="79" spans="1:20" x14ac:dyDescent="0.2">
      <c r="A79" t="s">
        <v>823</v>
      </c>
    </row>
    <row r="80" spans="1:20" x14ac:dyDescent="0.2">
      <c r="A80" t="s">
        <v>824</v>
      </c>
    </row>
    <row r="81" spans="1:20" x14ac:dyDescent="0.2">
      <c r="Q81" s="347"/>
      <c r="R81" s="347"/>
      <c r="S81" s="347"/>
      <c r="T81" s="347"/>
    </row>
    <row r="82" spans="1:20" x14ac:dyDescent="0.2">
      <c r="A82" t="s">
        <v>365</v>
      </c>
    </row>
    <row r="83" spans="1:20" x14ac:dyDescent="0.2">
      <c r="A83" t="s">
        <v>325</v>
      </c>
    </row>
    <row r="84" spans="1:20" x14ac:dyDescent="0.2">
      <c r="A84" t="s">
        <v>791</v>
      </c>
      <c r="Q84" s="347"/>
      <c r="R84" s="347"/>
      <c r="S84" s="347"/>
      <c r="T84" s="347"/>
    </row>
    <row r="85" spans="1:20" x14ac:dyDescent="0.2">
      <c r="A85" t="s">
        <v>792</v>
      </c>
    </row>
    <row r="86" spans="1:20" x14ac:dyDescent="0.2">
      <c r="A86" t="s">
        <v>367</v>
      </c>
    </row>
    <row r="88" spans="1:20" x14ac:dyDescent="0.2">
      <c r="A88" t="s">
        <v>368</v>
      </c>
    </row>
    <row r="89" spans="1:20" x14ac:dyDescent="0.2">
      <c r="A89" t="s">
        <v>369</v>
      </c>
    </row>
    <row r="90" spans="1:20" x14ac:dyDescent="0.2">
      <c r="A90" t="s">
        <v>370</v>
      </c>
    </row>
    <row r="92" spans="1:20" x14ac:dyDescent="0.2">
      <c r="A92" t="s">
        <v>509</v>
      </c>
    </row>
    <row r="95" spans="1:20" x14ac:dyDescent="0.2">
      <c r="A95" t="s">
        <v>374</v>
      </c>
    </row>
    <row r="96" spans="1:20" x14ac:dyDescent="0.2">
      <c r="A96" t="s">
        <v>375</v>
      </c>
    </row>
    <row r="97" spans="1:1" x14ac:dyDescent="0.2">
      <c r="A97" t="s">
        <v>376</v>
      </c>
    </row>
    <row r="98" spans="1:1" x14ac:dyDescent="0.2">
      <c r="A98" t="s">
        <v>380</v>
      </c>
    </row>
    <row r="99" spans="1:1" x14ac:dyDescent="0.2">
      <c r="A99" t="s">
        <v>383</v>
      </c>
    </row>
    <row r="100" spans="1:1" x14ac:dyDescent="0.2">
      <c r="A100" t="s">
        <v>382</v>
      </c>
    </row>
    <row r="102" spans="1:1" x14ac:dyDescent="0.2">
      <c r="A102" t="s">
        <v>510</v>
      </c>
    </row>
    <row r="105" spans="1:1" x14ac:dyDescent="0.2">
      <c r="A105" t="s">
        <v>378</v>
      </c>
    </row>
    <row r="106" spans="1:1" x14ac:dyDescent="0.2">
      <c r="A106" t="s">
        <v>354</v>
      </c>
    </row>
    <row r="107" spans="1:1" x14ac:dyDescent="0.2">
      <c r="A107" t="s">
        <v>371</v>
      </c>
    </row>
    <row r="109" spans="1:1" x14ac:dyDescent="0.2">
      <c r="A109" t="s">
        <v>511</v>
      </c>
    </row>
    <row r="112" spans="1:1" x14ac:dyDescent="0.2">
      <c r="A112" t="s">
        <v>372</v>
      </c>
    </row>
    <row r="113" spans="1:1" x14ac:dyDescent="0.2">
      <c r="A113" t="s">
        <v>373</v>
      </c>
    </row>
    <row r="114" spans="1:1" x14ac:dyDescent="0.2">
      <c r="A114" t="s">
        <v>825</v>
      </c>
    </row>
    <row r="115" spans="1:1" x14ac:dyDescent="0.2">
      <c r="A115" t="s">
        <v>377</v>
      </c>
    </row>
    <row r="116" spans="1:1" x14ac:dyDescent="0.2">
      <c r="A116" t="s">
        <v>512</v>
      </c>
    </row>
    <row r="117" spans="1:1" x14ac:dyDescent="0.2">
      <c r="A117" t="s">
        <v>379</v>
      </c>
    </row>
    <row r="118" spans="1:1" x14ac:dyDescent="0.2">
      <c r="A118" t="s">
        <v>793</v>
      </c>
    </row>
    <row r="119" spans="1:1" x14ac:dyDescent="0.2">
      <c r="A119" t="s">
        <v>381</v>
      </c>
    </row>
    <row r="120" spans="1:1" x14ac:dyDescent="0.2">
      <c r="A120" t="s">
        <v>513</v>
      </c>
    </row>
    <row r="122" spans="1:1" x14ac:dyDescent="0.2">
      <c r="A122" t="s">
        <v>563</v>
      </c>
    </row>
    <row r="125" spans="1:1" x14ac:dyDescent="0.2">
      <c r="A125" t="s">
        <v>1094</v>
      </c>
    </row>
    <row r="126" spans="1:1" x14ac:dyDescent="0.2">
      <c r="A126" t="s">
        <v>568</v>
      </c>
    </row>
    <row r="127" spans="1:1" x14ac:dyDescent="0.2">
      <c r="A127" t="s">
        <v>585</v>
      </c>
    </row>
    <row r="128" spans="1:1" x14ac:dyDescent="0.2">
      <c r="A128" t="s">
        <v>564</v>
      </c>
    </row>
    <row r="129" spans="1:1" x14ac:dyDescent="0.2">
      <c r="A129" t="s">
        <v>586</v>
      </c>
    </row>
    <row r="130" spans="1:1" x14ac:dyDescent="0.2">
      <c r="A130" t="s">
        <v>562</v>
      </c>
    </row>
    <row r="132" spans="1:1" x14ac:dyDescent="0.2">
      <c r="A132" t="s">
        <v>794</v>
      </c>
    </row>
    <row r="134" spans="1:1" x14ac:dyDescent="0.2">
      <c r="A134" t="s">
        <v>1020</v>
      </c>
    </row>
    <row r="136" spans="1:1" x14ac:dyDescent="0.2">
      <c r="A136" t="s">
        <v>313</v>
      </c>
    </row>
    <row r="138" spans="1:1" x14ac:dyDescent="0.2">
      <c r="A138" t="s">
        <v>384</v>
      </c>
    </row>
    <row r="139" spans="1:1" x14ac:dyDescent="0.2">
      <c r="A139" t="s">
        <v>665</v>
      </c>
    </row>
    <row r="140" spans="1:1" x14ac:dyDescent="0.2">
      <c r="A140" t="s">
        <v>666</v>
      </c>
    </row>
    <row r="141" spans="1:1" x14ac:dyDescent="0.2">
      <c r="A141" t="s">
        <v>385</v>
      </c>
    </row>
    <row r="142" spans="1:1" x14ac:dyDescent="0.2">
      <c r="A142" t="s">
        <v>584</v>
      </c>
    </row>
    <row r="143" spans="1:1" x14ac:dyDescent="0.2">
      <c r="A143" t="s">
        <v>386</v>
      </c>
    </row>
    <row r="145" spans="1:6" x14ac:dyDescent="0.2">
      <c r="A145" t="s">
        <v>387</v>
      </c>
    </row>
    <row r="147" spans="1:6" x14ac:dyDescent="0.2">
      <c r="A147" t="s">
        <v>944</v>
      </c>
    </row>
    <row r="148" spans="1:6" x14ac:dyDescent="0.2">
      <c r="A148" t="s">
        <v>388</v>
      </c>
    </row>
    <row r="149" spans="1:6" x14ac:dyDescent="0.2">
      <c r="A149" t="s">
        <v>389</v>
      </c>
    </row>
    <row r="150" spans="1:6" x14ac:dyDescent="0.2">
      <c r="A150" t="s">
        <v>390</v>
      </c>
    </row>
    <row r="151" spans="1:6" x14ac:dyDescent="0.2">
      <c r="A151" t="s">
        <v>391</v>
      </c>
    </row>
    <row r="152" spans="1:6" x14ac:dyDescent="0.2">
      <c r="A152" t="s">
        <v>392</v>
      </c>
    </row>
    <row r="153" spans="1:6" x14ac:dyDescent="0.2">
      <c r="A153" t="s">
        <v>314</v>
      </c>
    </row>
    <row r="154" spans="1:6" x14ac:dyDescent="0.2">
      <c r="A154" t="s">
        <v>240</v>
      </c>
    </row>
    <row r="155" spans="1:6" x14ac:dyDescent="0.2">
      <c r="A155" t="s">
        <v>393</v>
      </c>
    </row>
    <row r="156" spans="1:6" x14ac:dyDescent="0.2">
      <c r="A156" t="s">
        <v>515</v>
      </c>
    </row>
    <row r="157" spans="1:6" x14ac:dyDescent="0.2">
      <c r="A157" t="s">
        <v>826</v>
      </c>
    </row>
    <row r="159" spans="1:6" x14ac:dyDescent="0.2">
      <c r="A159" t="s">
        <v>394</v>
      </c>
    </row>
    <row r="160" spans="1:6" x14ac:dyDescent="0.2">
      <c r="A160" t="s">
        <v>516</v>
      </c>
      <c r="C160" s="75"/>
      <c r="D160" s="75"/>
      <c r="E160" s="75"/>
      <c r="F160" s="75"/>
    </row>
    <row r="161" spans="1:6" x14ac:dyDescent="0.2">
      <c r="A161" t="s">
        <v>517</v>
      </c>
      <c r="C161" s="75"/>
      <c r="D161" s="75"/>
      <c r="E161" s="75"/>
      <c r="F161" s="75"/>
    </row>
    <row r="162" spans="1:6" x14ac:dyDescent="0.2">
      <c r="A162" t="s">
        <v>1095</v>
      </c>
      <c r="C162" s="75"/>
      <c r="D162" s="75"/>
      <c r="E162" s="75"/>
      <c r="F162" s="75"/>
    </row>
    <row r="163" spans="1:6" x14ac:dyDescent="0.2">
      <c r="C163" s="75"/>
      <c r="D163" s="75"/>
      <c r="E163" s="75"/>
      <c r="F163" s="75"/>
    </row>
    <row r="164" spans="1:6" x14ac:dyDescent="0.2">
      <c r="A164" t="s">
        <v>518</v>
      </c>
      <c r="C164" s="75"/>
      <c r="D164" s="75"/>
      <c r="E164" s="75"/>
      <c r="F164" s="75"/>
    </row>
    <row r="165" spans="1:6" x14ac:dyDescent="0.2">
      <c r="C165" s="75"/>
      <c r="D165" s="75"/>
      <c r="E165" s="75"/>
      <c r="F165" s="75"/>
    </row>
    <row r="166" spans="1:6" x14ac:dyDescent="0.2">
      <c r="A166" t="s">
        <v>519</v>
      </c>
    </row>
    <row r="167" spans="1:6" x14ac:dyDescent="0.2">
      <c r="A167" t="s">
        <v>520</v>
      </c>
    </row>
    <row r="168" spans="1:6" x14ac:dyDescent="0.2">
      <c r="A168" t="s">
        <v>521</v>
      </c>
    </row>
    <row r="169" spans="1:6" x14ac:dyDescent="0.2">
      <c r="A169" t="s">
        <v>1021</v>
      </c>
    </row>
    <row r="170" spans="1:6" x14ac:dyDescent="0.2">
      <c r="A170" s="77" t="s">
        <v>399</v>
      </c>
    </row>
    <row r="171" spans="1:6" x14ac:dyDescent="0.2">
      <c r="A171" s="74" t="s">
        <v>522</v>
      </c>
    </row>
    <row r="173" spans="1:6" x14ac:dyDescent="0.2">
      <c r="A173" t="s">
        <v>523</v>
      </c>
    </row>
    <row r="175" spans="1:6" x14ac:dyDescent="0.2">
      <c r="A175" t="s">
        <v>1022</v>
      </c>
    </row>
    <row r="176" spans="1:6" x14ac:dyDescent="0.2">
      <c r="A176" t="s">
        <v>397</v>
      </c>
    </row>
    <row r="177" spans="1:16" x14ac:dyDescent="0.2">
      <c r="A177" t="s">
        <v>852</v>
      </c>
      <c r="B177" s="298"/>
      <c r="C177" s="298"/>
      <c r="D177" s="298"/>
      <c r="E177" s="298"/>
      <c r="F177" s="298"/>
    </row>
    <row r="178" spans="1:16" x14ac:dyDescent="0.2">
      <c r="A178" t="s">
        <v>524</v>
      </c>
      <c r="B178" s="298"/>
      <c r="C178" s="298"/>
      <c r="D178" s="298"/>
      <c r="E178" s="298"/>
      <c r="F178" s="298"/>
      <c r="O178" s="187"/>
      <c r="P178" s="187"/>
    </row>
    <row r="179" spans="1:16" x14ac:dyDescent="0.2">
      <c r="A179" t="s">
        <v>398</v>
      </c>
      <c r="B179" s="74"/>
      <c r="C179" s="74"/>
      <c r="D179" s="74"/>
      <c r="E179" s="74"/>
      <c r="F179" s="74"/>
      <c r="O179" s="74"/>
      <c r="P179" s="74"/>
    </row>
    <row r="180" spans="1:16" x14ac:dyDescent="0.2">
      <c r="A180" t="s">
        <v>400</v>
      </c>
      <c r="B180" s="74"/>
      <c r="C180" s="74"/>
      <c r="D180" s="74"/>
      <c r="E180" s="74"/>
      <c r="F180" s="74"/>
    </row>
    <row r="181" spans="1:16" x14ac:dyDescent="0.2">
      <c r="A181" t="s">
        <v>401</v>
      </c>
      <c r="B181" s="74"/>
      <c r="C181" s="74"/>
      <c r="D181" s="74"/>
      <c r="E181" s="74"/>
      <c r="F181" s="74"/>
    </row>
    <row r="182" spans="1:16" x14ac:dyDescent="0.2">
      <c r="A182" t="s">
        <v>862</v>
      </c>
      <c r="B182" s="74"/>
      <c r="C182" s="74"/>
      <c r="D182" s="74"/>
      <c r="E182" s="74"/>
      <c r="F182" s="74"/>
    </row>
    <row r="183" spans="1:16" x14ac:dyDescent="0.2">
      <c r="B183" s="74"/>
      <c r="C183" s="74"/>
      <c r="D183" s="74"/>
      <c r="E183" s="74"/>
      <c r="F183" s="74"/>
    </row>
    <row r="184" spans="1:16" x14ac:dyDescent="0.2">
      <c r="A184" t="s">
        <v>525</v>
      </c>
      <c r="B184" s="74"/>
      <c r="C184" s="74"/>
      <c r="D184" s="74"/>
      <c r="E184" s="74"/>
      <c r="F184" s="74"/>
    </row>
    <row r="185" spans="1:16" x14ac:dyDescent="0.2">
      <c r="B185" s="74"/>
      <c r="C185" s="74"/>
      <c r="D185" s="74"/>
      <c r="E185" s="74"/>
      <c r="F185" s="74"/>
    </row>
    <row r="186" spans="1:16" x14ac:dyDescent="0.2">
      <c r="A186" t="s">
        <v>526</v>
      </c>
      <c r="B186" s="74"/>
      <c r="C186" s="74"/>
      <c r="D186" s="74"/>
      <c r="E186" s="74"/>
      <c r="F186" s="74"/>
    </row>
    <row r="187" spans="1:16" x14ac:dyDescent="0.2">
      <c r="A187" t="s">
        <v>527</v>
      </c>
      <c r="B187" s="74"/>
      <c r="C187" s="74"/>
      <c r="D187" s="74"/>
      <c r="E187" s="74"/>
      <c r="F187" s="74"/>
    </row>
    <row r="188" spans="1:16" x14ac:dyDescent="0.2">
      <c r="A188" t="s">
        <v>402</v>
      </c>
      <c r="B188" s="74"/>
      <c r="C188" s="74"/>
      <c r="D188" s="74"/>
      <c r="E188" s="74"/>
      <c r="F188" s="74"/>
    </row>
    <row r="189" spans="1:16" x14ac:dyDescent="0.2">
      <c r="A189" t="s">
        <v>528</v>
      </c>
      <c r="B189" s="74"/>
      <c r="C189" s="74"/>
      <c r="D189" s="74"/>
      <c r="E189" s="74"/>
      <c r="F189" s="74"/>
    </row>
    <row r="190" spans="1:16" x14ac:dyDescent="0.2">
      <c r="A190" t="s">
        <v>403</v>
      </c>
      <c r="B190" s="74"/>
      <c r="C190" s="74"/>
      <c r="D190" s="74"/>
      <c r="E190" s="74"/>
      <c r="F190" s="74"/>
    </row>
    <row r="191" spans="1:16" x14ac:dyDescent="0.2">
      <c r="A191" t="s">
        <v>404</v>
      </c>
      <c r="B191" s="74"/>
      <c r="C191" s="74"/>
      <c r="D191" s="74"/>
      <c r="E191" s="74"/>
      <c r="F191" s="74"/>
    </row>
    <row r="192" spans="1:16" x14ac:dyDescent="0.2">
      <c r="A192" t="s">
        <v>405</v>
      </c>
      <c r="B192" s="298"/>
      <c r="C192" s="298"/>
      <c r="D192" s="298"/>
      <c r="E192" s="298"/>
      <c r="F192" s="298"/>
    </row>
    <row r="193" spans="1:14" x14ac:dyDescent="0.2">
      <c r="A193" t="s">
        <v>406</v>
      </c>
      <c r="B193" s="298"/>
      <c r="C193" s="298"/>
      <c r="D193" s="298"/>
      <c r="E193" s="298"/>
      <c r="F193" s="298"/>
    </row>
    <row r="194" spans="1:14" x14ac:dyDescent="0.2">
      <c r="B194" s="74"/>
      <c r="C194" s="74"/>
      <c r="D194" s="74"/>
      <c r="E194" s="74"/>
      <c r="F194" s="74"/>
      <c r="G194" s="187"/>
      <c r="J194" s="74"/>
      <c r="K194" s="74"/>
    </row>
    <row r="195" spans="1:14" x14ac:dyDescent="0.2">
      <c r="A195" t="s">
        <v>529</v>
      </c>
      <c r="B195" s="74"/>
      <c r="C195" s="74"/>
      <c r="D195" s="74"/>
      <c r="E195" s="74"/>
      <c r="F195" s="74"/>
      <c r="G195" s="187"/>
    </row>
    <row r="196" spans="1:14" x14ac:dyDescent="0.2">
      <c r="B196" s="74"/>
      <c r="C196" s="74"/>
      <c r="D196" s="74"/>
      <c r="E196" s="74"/>
      <c r="F196" s="74"/>
      <c r="J196" s="74"/>
      <c r="K196" s="74"/>
    </row>
    <row r="197" spans="1:14" x14ac:dyDescent="0.2">
      <c r="A197" t="s">
        <v>407</v>
      </c>
      <c r="B197" s="74"/>
      <c r="C197" s="74"/>
      <c r="D197" s="74"/>
      <c r="E197" s="74"/>
      <c r="F197" s="74"/>
    </row>
    <row r="198" spans="1:14" x14ac:dyDescent="0.2">
      <c r="A198" t="s">
        <v>408</v>
      </c>
      <c r="B198" s="74"/>
      <c r="C198" s="74"/>
      <c r="D198" s="74"/>
      <c r="E198" s="74"/>
      <c r="F198" s="74"/>
      <c r="L198" s="187"/>
    </row>
    <row r="199" spans="1:14" x14ac:dyDescent="0.2">
      <c r="A199" t="s">
        <v>409</v>
      </c>
      <c r="B199" s="74"/>
      <c r="C199" s="74"/>
      <c r="D199" s="74"/>
      <c r="E199" s="74"/>
      <c r="F199" s="74"/>
      <c r="G199" s="187" t="s">
        <v>831</v>
      </c>
    </row>
    <row r="200" spans="1:14" x14ac:dyDescent="0.2">
      <c r="A200" t="s">
        <v>410</v>
      </c>
      <c r="B200" s="74"/>
      <c r="C200" s="74"/>
      <c r="D200" s="74"/>
      <c r="E200" s="74"/>
      <c r="F200" s="74"/>
      <c r="G200" s="187" t="s">
        <v>671</v>
      </c>
      <c r="J200" s="400" t="str">
        <f>VLOOKUP("Data Feed",A106:A406,1,0)</f>
        <v>Data Feed</v>
      </c>
      <c r="K200" s="74"/>
    </row>
    <row r="201" spans="1:14" x14ac:dyDescent="0.2">
      <c r="B201" s="74"/>
      <c r="C201" s="74"/>
      <c r="D201" s="74"/>
      <c r="E201" s="74"/>
      <c r="F201" s="74"/>
      <c r="G201" s="187" t="s">
        <v>797</v>
      </c>
      <c r="J201" s="401" t="str">
        <f ca="1">OFFSET(J200,10,-9)</f>
        <v>Apple (AAPL)</v>
      </c>
    </row>
    <row r="202" spans="1:14" x14ac:dyDescent="0.2">
      <c r="A202" t="s">
        <v>530</v>
      </c>
      <c r="B202" s="74"/>
      <c r="C202" s="74"/>
      <c r="D202" s="74"/>
      <c r="E202" s="74"/>
      <c r="F202" s="74"/>
      <c r="I202" s="414" t="s">
        <v>326</v>
      </c>
      <c r="J202" s="401" t="str">
        <f ca="1">OFFSET(J200,12,-9)</f>
        <v>$152.55 USD</v>
      </c>
    </row>
    <row r="203" spans="1:14" x14ac:dyDescent="0.2">
      <c r="A203" s="186"/>
      <c r="C203" s="74"/>
      <c r="D203" s="74"/>
      <c r="E203" s="74"/>
      <c r="F203" s="74"/>
      <c r="I203" t="s">
        <v>863</v>
      </c>
      <c r="J203" t="str">
        <f ca="1">IF(J201="data feed",L209,J201)</f>
        <v>Apple (AAPL)</v>
      </c>
    </row>
    <row r="204" spans="1:14" x14ac:dyDescent="0.2">
      <c r="A204" s="187" t="s">
        <v>395</v>
      </c>
      <c r="B204" s="74"/>
      <c r="C204" s="74"/>
      <c r="D204" s="74"/>
      <c r="E204" s="74"/>
      <c r="F204" s="74"/>
      <c r="I204" s="187" t="s">
        <v>800</v>
      </c>
      <c r="J204" t="str">
        <f ca="1">IF(ISNUMBER(J202),J202,J218)</f>
        <v>$152.55 USD</v>
      </c>
    </row>
    <row r="205" spans="1:14" x14ac:dyDescent="0.2">
      <c r="A205" t="s">
        <v>396</v>
      </c>
      <c r="B205" s="74"/>
      <c r="C205" s="74"/>
      <c r="D205" s="74"/>
      <c r="E205" s="74"/>
      <c r="F205" s="74"/>
    </row>
    <row r="206" spans="1:14" x14ac:dyDescent="0.2">
      <c r="A206" s="74"/>
      <c r="B206" s="74"/>
      <c r="C206" s="74"/>
      <c r="D206" s="74"/>
      <c r="E206" s="74"/>
      <c r="F206" s="74"/>
      <c r="J206" s="410" t="s">
        <v>798</v>
      </c>
      <c r="K206" s="410"/>
      <c r="L206" s="410" t="s">
        <v>799</v>
      </c>
    </row>
    <row r="207" spans="1:14" x14ac:dyDescent="0.2">
      <c r="A207" s="187" t="s">
        <v>531</v>
      </c>
      <c r="B207" s="74"/>
      <c r="C207" s="74"/>
      <c r="D207" s="74"/>
      <c r="E207" s="74"/>
      <c r="F207" s="74"/>
      <c r="G207" s="187" t="s">
        <v>671</v>
      </c>
      <c r="J207" s="400" t="str">
        <f>VLOOKUP("(Delayed data from nsdq)",A100:A300,1,0)</f>
        <v>(Delayed Data from NSDQ)</v>
      </c>
      <c r="K207" s="74"/>
      <c r="L207" s="400" t="e">
        <f>VLOOKUP("(Delayed Data from NYSE)",A100:A300,1,0)</f>
        <v>#N/A</v>
      </c>
      <c r="M207" s="401"/>
      <c r="N207" s="401"/>
    </row>
    <row r="208" spans="1:14" x14ac:dyDescent="0.2">
      <c r="A208" s="401" t="s">
        <v>532</v>
      </c>
      <c r="B208" s="74"/>
      <c r="C208" s="74"/>
      <c r="D208" s="74"/>
      <c r="E208" s="74"/>
      <c r="F208" s="74"/>
      <c r="G208" s="187" t="s">
        <v>796</v>
      </c>
      <c r="J208" s="413" t="s">
        <v>830</v>
      </c>
      <c r="K208" s="187"/>
      <c r="L208" s="401">
        <f ca="1">OFFSET(L207,2,-11)</f>
        <v>0</v>
      </c>
      <c r="M208" s="401"/>
      <c r="N208" s="401"/>
    </row>
    <row r="209" spans="1:12" x14ac:dyDescent="0.2">
      <c r="B209" s="298"/>
      <c r="C209" s="298"/>
      <c r="D209" s="298"/>
      <c r="E209" s="298"/>
      <c r="F209" s="298"/>
      <c r="J209" s="400" t="str">
        <f>VLOOKUP("Data Feed",A100:A300,1,0)</f>
        <v>Data Feed</v>
      </c>
      <c r="K209" s="74"/>
      <c r="L209" t="str">
        <f ca="1">OFFSET(L208,0,-11)</f>
        <v>Data Feed</v>
      </c>
    </row>
    <row r="210" spans="1:12" x14ac:dyDescent="0.2">
      <c r="A210" s="74" t="s">
        <v>1109</v>
      </c>
      <c r="B210" s="298"/>
      <c r="C210" s="298"/>
      <c r="D210" s="298"/>
      <c r="E210" s="298"/>
      <c r="F210" s="298"/>
      <c r="J210" s="401" t="str">
        <f ca="1">OFFSET(J209,1,-9)</f>
        <v>Apple (AAPL)</v>
      </c>
    </row>
    <row r="211" spans="1:12" x14ac:dyDescent="0.2">
      <c r="A211" t="s">
        <v>1101</v>
      </c>
      <c r="B211" s="74"/>
      <c r="C211" s="74"/>
      <c r="D211" s="74"/>
      <c r="E211" s="74"/>
      <c r="F211" s="74"/>
      <c r="J211" s="401">
        <f ca="1">OFFSET(J210,3,-9)</f>
        <v>152.55000000000001</v>
      </c>
    </row>
    <row r="212" spans="1:12" x14ac:dyDescent="0.2">
      <c r="A212" s="74" t="s">
        <v>1110</v>
      </c>
      <c r="B212" s="74"/>
      <c r="C212" s="74"/>
      <c r="D212" s="74"/>
      <c r="E212" s="74"/>
      <c r="F212" s="74"/>
    </row>
    <row r="213" spans="1:12" x14ac:dyDescent="0.2">
      <c r="A213">
        <v>152.55000000000001</v>
      </c>
      <c r="B213" s="74"/>
      <c r="C213" s="74"/>
      <c r="D213" s="74"/>
      <c r="E213" s="74"/>
      <c r="F213" s="74"/>
      <c r="J213" s="401">
        <f ca="1">OFFSET(J209,0,-9)</f>
        <v>0</v>
      </c>
    </row>
    <row r="214" spans="1:12" x14ac:dyDescent="0.2">
      <c r="A214" s="74">
        <v>59114471</v>
      </c>
      <c r="B214" s="74"/>
      <c r="C214" s="74"/>
      <c r="D214" s="74"/>
      <c r="E214" s="74"/>
      <c r="F214" s="74"/>
    </row>
    <row r="215" spans="1:12" x14ac:dyDescent="0.2">
      <c r="A215" t="s">
        <v>1111</v>
      </c>
      <c r="B215" s="74"/>
      <c r="C215" s="74"/>
      <c r="D215" s="74"/>
      <c r="E215" s="74"/>
      <c r="F215" s="74"/>
      <c r="G215" s="187" t="s">
        <v>831</v>
      </c>
    </row>
    <row r="216" spans="1:12" x14ac:dyDescent="0.2">
      <c r="A216" t="s">
        <v>1108</v>
      </c>
      <c r="B216" s="74"/>
      <c r="C216" s="74"/>
      <c r="D216" s="74"/>
      <c r="E216" s="74"/>
      <c r="F216" s="74"/>
      <c r="G216" s="187" t="s">
        <v>671</v>
      </c>
      <c r="J216" s="400" t="str">
        <f>VLOOKUP("Data Feed",A122:A422,1,0)</f>
        <v>Data Feed</v>
      </c>
      <c r="K216" s="74"/>
    </row>
    <row r="217" spans="1:12" x14ac:dyDescent="0.2">
      <c r="A217" t="s">
        <v>1112</v>
      </c>
      <c r="B217" s="74"/>
      <c r="C217" s="74"/>
      <c r="D217" s="74"/>
      <c r="E217" s="74"/>
      <c r="F217" s="74"/>
      <c r="G217" s="187" t="s">
        <v>797</v>
      </c>
      <c r="J217" s="401" t="str">
        <f ca="1">OFFSET(J216,-8,-9)</f>
        <v>Data Feed</v>
      </c>
    </row>
    <row r="218" spans="1:12" x14ac:dyDescent="0.2">
      <c r="A218" s="345" t="s">
        <v>533</v>
      </c>
      <c r="B218" s="74"/>
      <c r="C218" s="74"/>
      <c r="D218" s="74"/>
      <c r="E218" s="74"/>
      <c r="F218" s="74"/>
      <c r="I218" s="414" t="s">
        <v>326</v>
      </c>
      <c r="J218" s="401" t="str">
        <f ca="1">OFFSET(J216,-4,-9)</f>
        <v>$152.55 USD</v>
      </c>
    </row>
    <row r="219" spans="1:12" x14ac:dyDescent="0.2">
      <c r="A219" t="s">
        <v>853</v>
      </c>
      <c r="B219" s="77"/>
      <c r="C219" s="77"/>
      <c r="D219" s="77"/>
      <c r="E219" s="77"/>
      <c r="F219" s="77"/>
    </row>
    <row r="220" spans="1:12" x14ac:dyDescent="0.2">
      <c r="A220" t="s">
        <v>854</v>
      </c>
      <c r="B220" s="77"/>
      <c r="C220" s="77"/>
      <c r="D220" s="77"/>
      <c r="E220" s="77"/>
      <c r="F220" s="77"/>
    </row>
    <row r="221" spans="1:12" x14ac:dyDescent="0.2">
      <c r="A221" t="s">
        <v>421</v>
      </c>
      <c r="C221" s="75"/>
    </row>
    <row r="222" spans="1:12" x14ac:dyDescent="0.2">
      <c r="A222" t="s">
        <v>338</v>
      </c>
      <c r="B222" t="s">
        <v>422</v>
      </c>
      <c r="C222" s="75" t="s">
        <v>423</v>
      </c>
    </row>
    <row r="223" spans="1:12" x14ac:dyDescent="0.2">
      <c r="A223">
        <v>1</v>
      </c>
      <c r="B223" s="298" t="s">
        <v>424</v>
      </c>
      <c r="C223" s="75">
        <v>0.24279999999999999</v>
      </c>
      <c r="D223" s="298"/>
      <c r="E223" s="298"/>
      <c r="F223" s="298"/>
    </row>
    <row r="224" spans="1:12" x14ac:dyDescent="0.2">
      <c r="A224">
        <v>2</v>
      </c>
      <c r="B224" s="298" t="s">
        <v>425</v>
      </c>
      <c r="C224" s="75">
        <v>0.17829999999999999</v>
      </c>
      <c r="D224" s="298"/>
      <c r="E224" s="298"/>
      <c r="F224" s="298"/>
    </row>
    <row r="225" spans="1:6" x14ac:dyDescent="0.2">
      <c r="A225">
        <v>3</v>
      </c>
      <c r="B225" s="74" t="s">
        <v>426</v>
      </c>
      <c r="C225" s="74">
        <v>9.1899999999999996E-2</v>
      </c>
      <c r="D225" s="74"/>
      <c r="E225" s="74"/>
      <c r="F225" s="74"/>
    </row>
    <row r="226" spans="1:6" x14ac:dyDescent="0.2">
      <c r="A226">
        <v>4</v>
      </c>
      <c r="B226" s="74" t="s">
        <v>427</v>
      </c>
      <c r="C226" s="74">
        <v>0.05</v>
      </c>
      <c r="D226" s="74"/>
      <c r="E226" s="74"/>
      <c r="F226" s="74"/>
    </row>
    <row r="227" spans="1:6" x14ac:dyDescent="0.2">
      <c r="A227">
        <v>5</v>
      </c>
      <c r="B227" t="s">
        <v>428</v>
      </c>
      <c r="C227" s="74">
        <v>2.1600000000000001E-2</v>
      </c>
      <c r="D227" s="74"/>
      <c r="E227" s="74"/>
      <c r="F227" s="74"/>
    </row>
    <row r="228" spans="1:6" x14ac:dyDescent="0.2">
      <c r="A228" t="s">
        <v>429</v>
      </c>
      <c r="B228" s="74">
        <v>500</v>
      </c>
      <c r="C228" s="74">
        <v>0.1051</v>
      </c>
      <c r="D228" s="74"/>
      <c r="E228" s="74"/>
      <c r="F228" s="74"/>
    </row>
    <row r="229" spans="1:6" x14ac:dyDescent="0.2">
      <c r="A229" t="s">
        <v>430</v>
      </c>
      <c r="B229" s="74"/>
      <c r="C229" s="74"/>
      <c r="D229" s="74"/>
      <c r="E229" s="74"/>
      <c r="F229" s="74"/>
    </row>
    <row r="230" spans="1:6" x14ac:dyDescent="0.2">
      <c r="A230" t="s">
        <v>431</v>
      </c>
      <c r="B230" s="74"/>
      <c r="C230" s="74"/>
      <c r="D230" s="74"/>
      <c r="E230" s="74"/>
      <c r="F230" s="74"/>
    </row>
    <row r="231" spans="1:6" x14ac:dyDescent="0.2">
      <c r="A231" t="s">
        <v>534</v>
      </c>
      <c r="B231" s="74"/>
      <c r="C231" s="74"/>
      <c r="D231" s="74"/>
      <c r="E231" s="74"/>
      <c r="F231" s="74"/>
    </row>
    <row r="232" spans="1:6" x14ac:dyDescent="0.2">
      <c r="A232" t="s">
        <v>1099</v>
      </c>
      <c r="B232" s="74"/>
      <c r="C232" s="74"/>
      <c r="D232" s="74"/>
      <c r="E232" s="74"/>
      <c r="F232" s="74"/>
    </row>
    <row r="233" spans="1:6" x14ac:dyDescent="0.2">
      <c r="A233" t="s">
        <v>855</v>
      </c>
      <c r="B233" s="348"/>
      <c r="C233" s="348"/>
      <c r="D233" s="348"/>
      <c r="E233" s="348"/>
      <c r="F233" s="348"/>
    </row>
    <row r="234" spans="1:6" x14ac:dyDescent="0.2">
      <c r="A234" t="s">
        <v>854</v>
      </c>
      <c r="B234" s="74"/>
      <c r="C234" s="74"/>
      <c r="D234" s="74"/>
      <c r="E234" s="74"/>
      <c r="F234" s="74"/>
    </row>
    <row r="235" spans="1:6" x14ac:dyDescent="0.2">
      <c r="A235" t="s">
        <v>416</v>
      </c>
      <c r="B235" s="74"/>
      <c r="C235" s="74"/>
      <c r="D235" s="74"/>
      <c r="E235" s="74"/>
      <c r="F235" s="74"/>
    </row>
    <row r="236" spans="1:6" x14ac:dyDescent="0.2">
      <c r="A236" t="s">
        <v>417</v>
      </c>
      <c r="B236" s="74"/>
      <c r="C236" s="74"/>
      <c r="D236" s="74"/>
      <c r="E236" s="74"/>
      <c r="F236" s="74"/>
    </row>
    <row r="237" spans="1:6" x14ac:dyDescent="0.2">
      <c r="A237" t="s">
        <v>413</v>
      </c>
      <c r="B237" s="74" t="s">
        <v>411</v>
      </c>
      <c r="C237" s="74"/>
      <c r="D237" s="74"/>
      <c r="E237" s="74"/>
      <c r="F237" s="74"/>
    </row>
    <row r="238" spans="1:6" x14ac:dyDescent="0.2">
      <c r="A238" t="s">
        <v>412</v>
      </c>
      <c r="B238" s="74" t="s">
        <v>411</v>
      </c>
      <c r="C238" s="74"/>
      <c r="D238" s="74"/>
      <c r="E238" s="74"/>
      <c r="F238" s="74"/>
    </row>
    <row r="239" spans="1:6" x14ac:dyDescent="0.2">
      <c r="A239" t="s">
        <v>414</v>
      </c>
      <c r="B239" s="74" t="s">
        <v>411</v>
      </c>
      <c r="C239" s="74"/>
      <c r="D239" s="74"/>
      <c r="E239" s="74"/>
      <c r="F239" s="74"/>
    </row>
    <row r="240" spans="1:6" x14ac:dyDescent="0.2">
      <c r="A240" s="187" t="s">
        <v>418</v>
      </c>
      <c r="B240" s="74" t="s">
        <v>411</v>
      </c>
      <c r="C240" s="74"/>
      <c r="D240" s="74"/>
      <c r="E240" s="74"/>
      <c r="F240" s="74"/>
    </row>
    <row r="241" spans="1:19" x14ac:dyDescent="0.2">
      <c r="A241" s="187" t="s">
        <v>415</v>
      </c>
      <c r="B241" s="346"/>
      <c r="C241" s="346"/>
      <c r="D241" s="346"/>
      <c r="E241" s="346"/>
      <c r="F241" s="346"/>
      <c r="O241" s="346"/>
    </row>
    <row r="242" spans="1:19" x14ac:dyDescent="0.2">
      <c r="A242" t="s">
        <v>419</v>
      </c>
      <c r="B242" s="348"/>
      <c r="C242" s="348"/>
      <c r="D242" s="348"/>
      <c r="E242" s="348"/>
      <c r="F242" s="348"/>
      <c r="O242" s="348"/>
      <c r="P242" s="348"/>
      <c r="Q242" s="348"/>
      <c r="R242" s="348"/>
      <c r="S242" s="348"/>
    </row>
    <row r="243" spans="1:19" x14ac:dyDescent="0.2">
      <c r="A243" s="187" t="s">
        <v>420</v>
      </c>
      <c r="B243" s="74"/>
      <c r="C243" s="74"/>
      <c r="D243" s="74"/>
      <c r="E243" s="74"/>
      <c r="F243" s="74"/>
      <c r="O243" s="348"/>
      <c r="P243" s="348"/>
      <c r="Q243" s="348"/>
      <c r="R243" s="348"/>
      <c r="S243" s="348"/>
    </row>
    <row r="244" spans="1:19" x14ac:dyDescent="0.2">
      <c r="A244" s="187" t="s">
        <v>1113</v>
      </c>
      <c r="B244" s="74"/>
      <c r="C244" s="74"/>
      <c r="D244" s="74"/>
      <c r="E244" s="74"/>
      <c r="F244" s="74"/>
      <c r="N244" s="74"/>
      <c r="O244" s="74"/>
      <c r="P244" s="187"/>
    </row>
    <row r="245" spans="1:19" x14ac:dyDescent="0.2">
      <c r="A245" t="s">
        <v>856</v>
      </c>
      <c r="B245" s="74"/>
      <c r="C245" s="74"/>
      <c r="D245" s="74"/>
      <c r="E245" s="74"/>
      <c r="F245" s="74"/>
      <c r="O245">
        <f>MATCH(P245,A200:A300,)</f>
        <v>74</v>
      </c>
      <c r="P245" t="s">
        <v>335</v>
      </c>
    </row>
    <row r="246" spans="1:19" x14ac:dyDescent="0.2">
      <c r="A246" s="187" t="s">
        <v>854</v>
      </c>
      <c r="B246" s="74"/>
      <c r="C246" s="74"/>
      <c r="D246" s="74"/>
      <c r="E246" s="74"/>
      <c r="F246" s="74"/>
      <c r="P246" t="e">
        <v>#VALUE!</v>
      </c>
    </row>
    <row r="247" spans="1:19" x14ac:dyDescent="0.2">
      <c r="A247" t="s">
        <v>535</v>
      </c>
      <c r="B247" s="74"/>
      <c r="C247" s="74"/>
      <c r="D247" s="74"/>
      <c r="E247" s="74"/>
      <c r="F247" s="74"/>
    </row>
    <row r="248" spans="1:19" x14ac:dyDescent="0.2">
      <c r="A248" s="187" t="s">
        <v>536</v>
      </c>
      <c r="B248" s="74"/>
      <c r="C248" s="74"/>
      <c r="D248" s="74"/>
      <c r="E248" s="74"/>
      <c r="F248" s="74"/>
    </row>
    <row r="249" spans="1:19" x14ac:dyDescent="0.2">
      <c r="A249" s="187" t="s">
        <v>537</v>
      </c>
      <c r="B249" s="74"/>
      <c r="C249" s="74"/>
      <c r="D249" s="74"/>
      <c r="E249" s="74"/>
      <c r="F249" s="74"/>
    </row>
    <row r="250" spans="1:19" x14ac:dyDescent="0.2">
      <c r="A250" t="s">
        <v>538</v>
      </c>
      <c r="B250" s="74"/>
      <c r="C250" s="74"/>
      <c r="D250" s="74"/>
      <c r="E250" s="74"/>
      <c r="F250" s="74"/>
    </row>
    <row r="251" spans="1:19" x14ac:dyDescent="0.2">
      <c r="A251" t="s">
        <v>539</v>
      </c>
      <c r="B251" s="74"/>
      <c r="C251" s="74"/>
      <c r="D251" s="74"/>
      <c r="E251" s="74"/>
      <c r="F251" s="74"/>
    </row>
    <row r="252" spans="1:19" x14ac:dyDescent="0.2">
      <c r="A252" t="s">
        <v>1114</v>
      </c>
      <c r="B252" s="74"/>
      <c r="C252" s="74"/>
      <c r="D252" s="74"/>
      <c r="E252" s="74"/>
      <c r="F252" s="74"/>
    </row>
    <row r="253" spans="1:19" x14ac:dyDescent="0.2">
      <c r="A253" t="s">
        <v>1115</v>
      </c>
      <c r="B253" s="74"/>
      <c r="C253" s="74"/>
      <c r="D253" s="74"/>
      <c r="E253" s="74"/>
      <c r="F253" s="74"/>
    </row>
    <row r="254" spans="1:19" x14ac:dyDescent="0.2">
      <c r="A254" t="s">
        <v>657</v>
      </c>
      <c r="B254" s="74"/>
      <c r="C254" s="74"/>
      <c r="D254" s="74"/>
      <c r="E254" s="74"/>
      <c r="F254" s="74"/>
    </row>
    <row r="255" spans="1:19" x14ac:dyDescent="0.2">
      <c r="A255" t="s">
        <v>1116</v>
      </c>
      <c r="B255" s="298"/>
      <c r="C255" s="298"/>
      <c r="D255" s="298"/>
      <c r="E255" s="298"/>
      <c r="F255" s="298"/>
    </row>
    <row r="256" spans="1:19" x14ac:dyDescent="0.2">
      <c r="A256" t="s">
        <v>570</v>
      </c>
      <c r="B256" s="298"/>
      <c r="C256" s="298"/>
      <c r="D256" s="298"/>
      <c r="E256" s="298"/>
      <c r="F256" s="298"/>
    </row>
    <row r="257" spans="1:6" x14ac:dyDescent="0.2">
      <c r="A257" s="187" t="s">
        <v>240</v>
      </c>
      <c r="B257" s="74"/>
      <c r="C257" s="74"/>
      <c r="D257" s="74"/>
      <c r="E257" s="74"/>
      <c r="F257" s="74"/>
    </row>
    <row r="258" spans="1:6" x14ac:dyDescent="0.2">
      <c r="A258" s="187" t="s">
        <v>667</v>
      </c>
      <c r="B258" s="74"/>
      <c r="C258" s="74"/>
      <c r="D258" s="74"/>
      <c r="E258" s="74"/>
      <c r="F258" s="74"/>
    </row>
    <row r="259" spans="1:6" x14ac:dyDescent="0.2">
      <c r="A259" t="s">
        <v>1117</v>
      </c>
      <c r="B259" s="74"/>
      <c r="C259" s="74"/>
      <c r="D259" s="74"/>
      <c r="E259" s="74"/>
      <c r="F259" s="74"/>
    </row>
    <row r="260" spans="1:6" x14ac:dyDescent="0.2">
      <c r="A260" t="s">
        <v>854</v>
      </c>
      <c r="B260" s="74"/>
      <c r="C260" s="74"/>
      <c r="D260" s="74"/>
      <c r="E260" s="74"/>
      <c r="F260" s="74"/>
    </row>
    <row r="261" spans="1:6" x14ac:dyDescent="0.2">
      <c r="A261" t="s">
        <v>432</v>
      </c>
      <c r="B261" s="298"/>
      <c r="C261" s="298"/>
      <c r="D261" s="298"/>
      <c r="E261" s="298"/>
      <c r="F261" s="298"/>
    </row>
    <row r="262" spans="1:6" x14ac:dyDescent="0.2">
      <c r="A262" t="s">
        <v>433</v>
      </c>
      <c r="B262" s="298"/>
      <c r="C262" s="298"/>
      <c r="D262" s="298"/>
      <c r="E262" s="298"/>
      <c r="F262" s="298"/>
    </row>
    <row r="263" spans="1:6" x14ac:dyDescent="0.2">
      <c r="A263" t="s">
        <v>434</v>
      </c>
      <c r="B263" s="74"/>
      <c r="C263" s="74"/>
      <c r="D263" s="74"/>
      <c r="E263" s="74"/>
      <c r="F263" s="74"/>
    </row>
    <row r="264" spans="1:6" x14ac:dyDescent="0.2">
      <c r="A264" t="s">
        <v>435</v>
      </c>
      <c r="B264" s="74"/>
      <c r="C264" s="74"/>
      <c r="D264" s="74"/>
      <c r="E264" s="74"/>
      <c r="F264" s="74"/>
    </row>
    <row r="265" spans="1:6" x14ac:dyDescent="0.2">
      <c r="A265" t="s">
        <v>436</v>
      </c>
      <c r="B265" s="77"/>
      <c r="C265" s="77"/>
      <c r="D265" s="77"/>
      <c r="E265" s="77"/>
      <c r="F265" s="77"/>
    </row>
    <row r="266" spans="1:6" x14ac:dyDescent="0.2">
      <c r="A266" t="s">
        <v>437</v>
      </c>
      <c r="B266" s="77"/>
      <c r="C266" s="77"/>
      <c r="D266" s="77"/>
      <c r="E266" s="77"/>
      <c r="F266" s="77"/>
    </row>
    <row r="267" spans="1:6" x14ac:dyDescent="0.2">
      <c r="A267" t="s">
        <v>1100</v>
      </c>
      <c r="B267" s="74"/>
      <c r="C267" s="74"/>
      <c r="D267" s="74"/>
      <c r="E267" s="74"/>
      <c r="F267" s="74"/>
    </row>
    <row r="268" spans="1:6" x14ac:dyDescent="0.2">
      <c r="B268" s="298"/>
      <c r="C268" s="298"/>
      <c r="D268" s="298"/>
      <c r="E268" s="298"/>
      <c r="F268" s="298"/>
    </row>
    <row r="269" spans="1:6" x14ac:dyDescent="0.2">
      <c r="A269" t="s">
        <v>540</v>
      </c>
      <c r="B269" s="74"/>
      <c r="C269" s="74"/>
      <c r="D269" s="74"/>
      <c r="E269" s="74"/>
      <c r="F269" s="74"/>
    </row>
    <row r="270" spans="1:6" x14ac:dyDescent="0.2">
      <c r="A270" t="s">
        <v>541</v>
      </c>
      <c r="B270" s="77"/>
      <c r="C270" s="77"/>
      <c r="D270" s="77"/>
      <c r="E270" s="77"/>
      <c r="F270" s="77"/>
    </row>
    <row r="271" spans="1:6" x14ac:dyDescent="0.2">
      <c r="B271" s="74"/>
      <c r="C271" s="77"/>
      <c r="D271" s="77"/>
      <c r="E271" s="77"/>
      <c r="F271" s="77"/>
    </row>
    <row r="272" spans="1:6" x14ac:dyDescent="0.2">
      <c r="A272" t="s">
        <v>1118</v>
      </c>
      <c r="B272" s="74"/>
      <c r="C272" s="74"/>
      <c r="D272" s="74"/>
      <c r="E272" s="74"/>
      <c r="F272" s="74"/>
    </row>
    <row r="273" spans="1:18" x14ac:dyDescent="0.2">
      <c r="A273" s="187" t="s">
        <v>335</v>
      </c>
      <c r="B273" s="74"/>
      <c r="C273" s="74"/>
      <c r="D273" s="74"/>
      <c r="E273" s="74"/>
      <c r="F273" s="74"/>
    </row>
    <row r="274" spans="1:18" x14ac:dyDescent="0.2">
      <c r="B274" s="298">
        <v>44834</v>
      </c>
      <c r="C274" s="298">
        <v>44469</v>
      </c>
      <c r="D274" s="298">
        <v>44104</v>
      </c>
      <c r="E274" s="298">
        <v>43738</v>
      </c>
      <c r="F274" s="298">
        <v>43373</v>
      </c>
    </row>
    <row r="275" spans="1:18" x14ac:dyDescent="0.2">
      <c r="A275" t="s">
        <v>476</v>
      </c>
      <c r="B275" s="74"/>
      <c r="C275" s="74"/>
      <c r="D275" s="74"/>
      <c r="E275" s="74"/>
      <c r="F275" s="74"/>
    </row>
    <row r="276" spans="1:18" x14ac:dyDescent="0.2">
      <c r="A276" t="s">
        <v>477</v>
      </c>
      <c r="B276" s="74">
        <v>48304</v>
      </c>
      <c r="C276" s="74">
        <v>62639</v>
      </c>
      <c r="D276" s="74">
        <v>90943</v>
      </c>
      <c r="E276" s="74">
        <v>100557</v>
      </c>
      <c r="F276" s="74">
        <v>66301</v>
      </c>
    </row>
    <row r="277" spans="1:18" x14ac:dyDescent="0.2">
      <c r="A277" t="s">
        <v>478</v>
      </c>
      <c r="B277" s="74">
        <v>60932</v>
      </c>
      <c r="C277" s="74">
        <v>51506</v>
      </c>
      <c r="D277" s="74">
        <v>37445</v>
      </c>
      <c r="E277" s="74">
        <v>45804</v>
      </c>
      <c r="F277" s="74">
        <v>48995</v>
      </c>
    </row>
    <row r="278" spans="1:18" x14ac:dyDescent="0.2">
      <c r="A278" t="s">
        <v>479</v>
      </c>
      <c r="B278" s="74">
        <v>0</v>
      </c>
      <c r="C278" s="74">
        <v>0</v>
      </c>
      <c r="D278" s="74">
        <v>0</v>
      </c>
      <c r="E278" s="74">
        <v>0</v>
      </c>
      <c r="F278" s="74">
        <v>0</v>
      </c>
    </row>
    <row r="279" spans="1:18" x14ac:dyDescent="0.2">
      <c r="A279" t="s">
        <v>46</v>
      </c>
      <c r="B279" s="74">
        <v>4946</v>
      </c>
      <c r="C279" s="74">
        <v>6580</v>
      </c>
      <c r="D279" s="74">
        <v>4061</v>
      </c>
      <c r="E279" s="74">
        <v>4106</v>
      </c>
      <c r="F279" s="74">
        <v>3956</v>
      </c>
    </row>
    <row r="280" spans="1:18" x14ac:dyDescent="0.2">
      <c r="A280" t="s">
        <v>237</v>
      </c>
      <c r="B280" s="74">
        <v>21223</v>
      </c>
      <c r="C280" s="74">
        <v>14111</v>
      </c>
      <c r="D280" s="74">
        <v>11264</v>
      </c>
      <c r="E280" s="74">
        <v>12352</v>
      </c>
      <c r="F280" s="74">
        <v>12087</v>
      </c>
    </row>
    <row r="281" spans="1:18" x14ac:dyDescent="0.2">
      <c r="A281" t="s">
        <v>47</v>
      </c>
      <c r="B281" s="74">
        <v>135405</v>
      </c>
      <c r="C281" s="74">
        <v>134836</v>
      </c>
      <c r="D281" s="74">
        <v>143713</v>
      </c>
      <c r="E281" s="74">
        <v>162819</v>
      </c>
      <c r="F281" s="74">
        <v>131339</v>
      </c>
    </row>
    <row r="282" spans="1:18" x14ac:dyDescent="0.2">
      <c r="A282" t="s">
        <v>480</v>
      </c>
      <c r="B282" s="74">
        <v>42117</v>
      </c>
      <c r="C282" s="74">
        <v>39440</v>
      </c>
      <c r="D282" s="74">
        <v>36766</v>
      </c>
      <c r="E282" s="74">
        <v>37378</v>
      </c>
      <c r="F282" s="74">
        <v>41304</v>
      </c>
    </row>
    <row r="283" spans="1:18" x14ac:dyDescent="0.2">
      <c r="A283" s="187" t="s">
        <v>481</v>
      </c>
      <c r="B283" s="74">
        <v>120805</v>
      </c>
      <c r="C283" s="74">
        <v>127877</v>
      </c>
      <c r="D283" s="74">
        <v>100887</v>
      </c>
      <c r="E283" s="74">
        <v>105341</v>
      </c>
      <c r="F283" s="74">
        <v>170799</v>
      </c>
    </row>
    <row r="284" spans="1:18" x14ac:dyDescent="0.2">
      <c r="A284" t="s">
        <v>482</v>
      </c>
      <c r="B284" s="298">
        <v>0</v>
      </c>
      <c r="C284" s="298">
        <v>0</v>
      </c>
      <c r="D284" s="298">
        <v>0</v>
      </c>
      <c r="E284" s="298">
        <v>0</v>
      </c>
      <c r="F284" s="298">
        <v>0</v>
      </c>
    </row>
    <row r="285" spans="1:18" x14ac:dyDescent="0.2">
      <c r="A285" t="s">
        <v>483</v>
      </c>
      <c r="B285" s="74">
        <v>0</v>
      </c>
      <c r="C285" s="74">
        <v>0</v>
      </c>
      <c r="D285" s="74">
        <v>0</v>
      </c>
      <c r="E285" s="74">
        <v>0</v>
      </c>
      <c r="F285" s="74">
        <v>0</v>
      </c>
    </row>
    <row r="286" spans="1:18" x14ac:dyDescent="0.2">
      <c r="A286" s="345" t="s">
        <v>484</v>
      </c>
      <c r="B286" s="74">
        <v>0</v>
      </c>
      <c r="C286" s="74">
        <v>0</v>
      </c>
      <c r="D286" s="74">
        <v>0</v>
      </c>
      <c r="E286" s="74">
        <v>0</v>
      </c>
      <c r="F286" s="74">
        <v>0</v>
      </c>
      <c r="O286" s="298">
        <f>C287</f>
        <v>48849</v>
      </c>
      <c r="P286" s="298">
        <f>H291</f>
        <v>0</v>
      </c>
      <c r="Q286" s="298">
        <f>I291</f>
        <v>0</v>
      </c>
      <c r="R286" s="298">
        <f t="shared" ref="R286" si="0">M287</f>
        <v>0</v>
      </c>
    </row>
    <row r="287" spans="1:18" x14ac:dyDescent="0.2">
      <c r="A287" t="s">
        <v>485</v>
      </c>
      <c r="B287" s="298">
        <v>54428</v>
      </c>
      <c r="C287" s="298">
        <v>48849</v>
      </c>
      <c r="D287" s="298">
        <v>42522</v>
      </c>
      <c r="E287" s="298">
        <v>32978</v>
      </c>
      <c r="F287" s="298">
        <v>22283</v>
      </c>
    </row>
    <row r="288" spans="1:18" x14ac:dyDescent="0.2">
      <c r="A288" t="s">
        <v>130</v>
      </c>
      <c r="B288" s="298">
        <v>352755</v>
      </c>
      <c r="C288" s="298">
        <v>351002</v>
      </c>
      <c r="D288" s="298">
        <v>323888</v>
      </c>
      <c r="E288" s="298">
        <v>338516</v>
      </c>
      <c r="F288" s="298">
        <v>365725</v>
      </c>
    </row>
    <row r="289" spans="1:6" x14ac:dyDescent="0.2">
      <c r="A289" t="s">
        <v>486</v>
      </c>
      <c r="B289" s="74">
        <v>44834</v>
      </c>
      <c r="C289" s="74">
        <v>44469</v>
      </c>
      <c r="D289" s="74">
        <v>44104</v>
      </c>
      <c r="E289" s="74">
        <v>43738</v>
      </c>
      <c r="F289" s="74">
        <v>43373</v>
      </c>
    </row>
    <row r="290" spans="1:6" x14ac:dyDescent="0.2">
      <c r="A290" t="s">
        <v>487</v>
      </c>
      <c r="B290" s="74">
        <v>0</v>
      </c>
      <c r="C290" s="74">
        <v>0</v>
      </c>
      <c r="D290" s="74">
        <v>0</v>
      </c>
      <c r="E290" s="74">
        <v>0</v>
      </c>
      <c r="F290" s="74">
        <v>0</v>
      </c>
    </row>
    <row r="291" spans="1:6" x14ac:dyDescent="0.2">
      <c r="A291" t="s">
        <v>488</v>
      </c>
      <c r="B291" s="74">
        <v>64115</v>
      </c>
      <c r="C291" s="74">
        <v>54763</v>
      </c>
      <c r="D291" s="74">
        <v>42296</v>
      </c>
      <c r="E291" s="74">
        <v>46236</v>
      </c>
      <c r="F291" s="74">
        <v>55888</v>
      </c>
    </row>
    <row r="292" spans="1:6" x14ac:dyDescent="0.2">
      <c r="A292" t="s">
        <v>489</v>
      </c>
      <c r="B292" s="74">
        <v>21110</v>
      </c>
      <c r="C292" s="74">
        <v>15613</v>
      </c>
      <c r="D292" s="74">
        <v>13769</v>
      </c>
      <c r="E292" s="74">
        <v>16240</v>
      </c>
      <c r="F292" s="74">
        <v>20748</v>
      </c>
    </row>
    <row r="293" spans="1:6" x14ac:dyDescent="0.2">
      <c r="A293" t="s">
        <v>490</v>
      </c>
      <c r="B293" s="74">
        <v>0</v>
      </c>
      <c r="C293" s="74">
        <v>0</v>
      </c>
      <c r="D293" s="74">
        <v>0</v>
      </c>
      <c r="E293" s="74">
        <v>0</v>
      </c>
      <c r="F293" s="74">
        <v>0</v>
      </c>
    </row>
    <row r="294" spans="1:6" x14ac:dyDescent="0.2">
      <c r="A294" t="s">
        <v>491</v>
      </c>
      <c r="B294" s="74">
        <v>0</v>
      </c>
      <c r="C294" s="74">
        <v>0</v>
      </c>
      <c r="D294" s="74">
        <v>0</v>
      </c>
      <c r="E294" s="74">
        <v>0</v>
      </c>
      <c r="F294" s="74">
        <v>0</v>
      </c>
    </row>
    <row r="295" spans="1:6" x14ac:dyDescent="0.2">
      <c r="A295" t="s">
        <v>492</v>
      </c>
      <c r="B295" s="74">
        <v>0</v>
      </c>
      <c r="C295" s="74">
        <v>0</v>
      </c>
      <c r="D295" s="74">
        <v>0</v>
      </c>
      <c r="E295" s="74">
        <v>0</v>
      </c>
      <c r="F295" s="74">
        <v>0</v>
      </c>
    </row>
    <row r="296" spans="1:6" x14ac:dyDescent="0.2">
      <c r="A296" t="s">
        <v>238</v>
      </c>
      <c r="B296" s="74">
        <v>68757</v>
      </c>
      <c r="C296" s="74">
        <v>55105</v>
      </c>
      <c r="D296" s="74">
        <v>49327</v>
      </c>
      <c r="E296" s="74">
        <v>43242</v>
      </c>
      <c r="F296" s="74">
        <v>40230</v>
      </c>
    </row>
    <row r="297" spans="1:6" x14ac:dyDescent="0.2">
      <c r="A297" t="s">
        <v>50</v>
      </c>
      <c r="B297" s="74">
        <v>153982</v>
      </c>
      <c r="C297" s="74">
        <v>125481</v>
      </c>
      <c r="D297" s="74">
        <v>105392</v>
      </c>
      <c r="E297" s="74">
        <v>105718</v>
      </c>
      <c r="F297" s="74">
        <v>116866</v>
      </c>
    </row>
    <row r="298" spans="1:6" x14ac:dyDescent="0.2">
      <c r="A298" t="s">
        <v>329</v>
      </c>
      <c r="B298" s="74">
        <v>0</v>
      </c>
      <c r="C298" s="74">
        <v>0</v>
      </c>
      <c r="D298" s="74">
        <v>0</v>
      </c>
      <c r="E298" s="74">
        <v>0</v>
      </c>
      <c r="F298" s="74">
        <v>0</v>
      </c>
    </row>
    <row r="299" spans="1:6" x14ac:dyDescent="0.2">
      <c r="A299" t="s">
        <v>493</v>
      </c>
      <c r="B299" s="74">
        <v>0</v>
      </c>
      <c r="C299" s="74">
        <v>0</v>
      </c>
      <c r="D299" s="74">
        <v>0</v>
      </c>
      <c r="E299" s="74">
        <v>0</v>
      </c>
      <c r="F299" s="74">
        <v>2797</v>
      </c>
    </row>
    <row r="300" spans="1:6" x14ac:dyDescent="0.2">
      <c r="A300" t="s">
        <v>494</v>
      </c>
      <c r="B300" s="74">
        <v>0</v>
      </c>
      <c r="C300" s="74">
        <v>0</v>
      </c>
      <c r="D300" s="74">
        <v>0</v>
      </c>
      <c r="E300" s="74">
        <v>0</v>
      </c>
      <c r="F300" s="74">
        <v>0</v>
      </c>
    </row>
    <row r="301" spans="1:6" x14ac:dyDescent="0.2">
      <c r="A301" t="s">
        <v>495</v>
      </c>
      <c r="B301" s="74">
        <v>98959</v>
      </c>
      <c r="C301" s="74">
        <v>109106</v>
      </c>
      <c r="D301" s="74">
        <v>98667</v>
      </c>
      <c r="E301" s="74">
        <v>91807</v>
      </c>
      <c r="F301" s="74">
        <v>93735</v>
      </c>
    </row>
    <row r="302" spans="1:6" x14ac:dyDescent="0.2">
      <c r="A302" t="s">
        <v>496</v>
      </c>
      <c r="B302" s="74">
        <v>0</v>
      </c>
      <c r="C302" s="74">
        <v>0</v>
      </c>
      <c r="D302" s="74">
        <v>0</v>
      </c>
      <c r="E302" s="74">
        <v>0</v>
      </c>
      <c r="F302" s="74">
        <v>0</v>
      </c>
    </row>
    <row r="303" spans="1:6" x14ac:dyDescent="0.2">
      <c r="A303" s="74" t="s">
        <v>497</v>
      </c>
      <c r="B303" s="298">
        <v>49142</v>
      </c>
      <c r="C303" s="298">
        <v>53325</v>
      </c>
      <c r="D303" s="298">
        <v>54490</v>
      </c>
      <c r="E303" s="298">
        <v>50503</v>
      </c>
      <c r="F303" s="298">
        <v>45180</v>
      </c>
    </row>
    <row r="304" spans="1:6" x14ac:dyDescent="0.2">
      <c r="A304" t="s">
        <v>498</v>
      </c>
      <c r="B304" s="77">
        <v>0</v>
      </c>
      <c r="C304" s="74">
        <v>0</v>
      </c>
      <c r="D304" s="74">
        <v>0</v>
      </c>
      <c r="E304" s="74">
        <v>0</v>
      </c>
      <c r="F304" s="74">
        <v>0</v>
      </c>
    </row>
    <row r="305" spans="1:13" x14ac:dyDescent="0.2">
      <c r="A305" t="s">
        <v>131</v>
      </c>
      <c r="B305" s="74">
        <v>302083</v>
      </c>
      <c r="C305" s="74">
        <v>287912</v>
      </c>
      <c r="D305" s="74">
        <v>258549</v>
      </c>
      <c r="E305" s="74">
        <v>248028</v>
      </c>
      <c r="F305" s="74">
        <v>258578</v>
      </c>
    </row>
    <row r="306" spans="1:13" x14ac:dyDescent="0.2">
      <c r="A306" t="s">
        <v>499</v>
      </c>
      <c r="B306" s="74">
        <v>44834</v>
      </c>
      <c r="C306" s="74">
        <v>44469</v>
      </c>
      <c r="D306" s="74">
        <v>44104</v>
      </c>
      <c r="E306" s="74">
        <v>43738</v>
      </c>
      <c r="F306" s="74">
        <v>43373</v>
      </c>
    </row>
    <row r="307" spans="1:13" x14ac:dyDescent="0.2">
      <c r="A307" t="s">
        <v>243</v>
      </c>
      <c r="B307" s="298">
        <v>0</v>
      </c>
      <c r="C307" s="298">
        <v>0</v>
      </c>
      <c r="D307" s="298">
        <v>0</v>
      </c>
      <c r="E307" s="298">
        <v>0</v>
      </c>
      <c r="F307" s="298">
        <v>0</v>
      </c>
    </row>
    <row r="308" spans="1:13" x14ac:dyDescent="0.2">
      <c r="A308" t="s">
        <v>500</v>
      </c>
      <c r="B308" s="298">
        <v>64849</v>
      </c>
      <c r="C308" s="298">
        <v>57365</v>
      </c>
      <c r="D308" s="298">
        <v>50779</v>
      </c>
      <c r="E308" s="298">
        <v>45174</v>
      </c>
      <c r="F308" s="298">
        <v>40201</v>
      </c>
    </row>
    <row r="309" spans="1:13" x14ac:dyDescent="0.2">
      <c r="A309" t="s">
        <v>501</v>
      </c>
      <c r="B309" s="74">
        <v>0</v>
      </c>
      <c r="C309" s="74">
        <v>0</v>
      </c>
      <c r="D309" s="74">
        <v>0</v>
      </c>
      <c r="E309" s="74">
        <v>0</v>
      </c>
      <c r="F309" s="74">
        <v>0</v>
      </c>
    </row>
    <row r="310" spans="1:13" x14ac:dyDescent="0.2">
      <c r="A310" s="186" t="s">
        <v>229</v>
      </c>
      <c r="B310" s="74">
        <v>-3068</v>
      </c>
      <c r="C310" s="74">
        <v>5562</v>
      </c>
      <c r="D310" s="74">
        <v>14966</v>
      </c>
      <c r="E310" s="74">
        <v>45898</v>
      </c>
      <c r="F310" s="74">
        <v>70400</v>
      </c>
    </row>
    <row r="311" spans="1:13" x14ac:dyDescent="0.2">
      <c r="A311" s="344" t="s">
        <v>502</v>
      </c>
      <c r="B311" s="74">
        <v>-11109</v>
      </c>
      <c r="C311" s="74">
        <v>163</v>
      </c>
      <c r="D311" s="74">
        <v>-406</v>
      </c>
      <c r="E311" s="74">
        <v>-584</v>
      </c>
      <c r="F311" s="74">
        <v>-3454</v>
      </c>
    </row>
    <row r="312" spans="1:13" x14ac:dyDescent="0.2">
      <c r="A312" s="186" t="s">
        <v>236</v>
      </c>
      <c r="B312" s="74">
        <v>0</v>
      </c>
      <c r="C312" s="74">
        <v>0</v>
      </c>
      <c r="D312" s="75">
        <v>0</v>
      </c>
      <c r="E312" s="74">
        <v>0</v>
      </c>
      <c r="F312" s="74">
        <v>0</v>
      </c>
    </row>
    <row r="313" spans="1:13" x14ac:dyDescent="0.2">
      <c r="A313" s="186" t="s">
        <v>503</v>
      </c>
      <c r="B313" s="74">
        <v>50672</v>
      </c>
      <c r="C313" s="74">
        <v>63090</v>
      </c>
      <c r="D313" s="74">
        <v>65339</v>
      </c>
      <c r="E313" s="74">
        <v>90488</v>
      </c>
      <c r="F313" s="74">
        <v>107147</v>
      </c>
    </row>
    <row r="314" spans="1:13" x14ac:dyDescent="0.2">
      <c r="A314" s="382" t="s">
        <v>504</v>
      </c>
      <c r="B314" s="74">
        <v>352755</v>
      </c>
      <c r="C314" s="74">
        <v>351002</v>
      </c>
      <c r="D314" s="74">
        <v>323888</v>
      </c>
      <c r="E314" s="74">
        <v>338516</v>
      </c>
      <c r="F314" s="74">
        <v>365725</v>
      </c>
    </row>
    <row r="315" spans="1:13" x14ac:dyDescent="0.2">
      <c r="A315" s="187" t="s">
        <v>505</v>
      </c>
      <c r="B315" s="74">
        <v>50672</v>
      </c>
      <c r="C315" s="74">
        <v>63090</v>
      </c>
      <c r="D315" s="74">
        <v>65339</v>
      </c>
      <c r="E315" s="74">
        <v>90488</v>
      </c>
      <c r="F315" s="74">
        <v>107147</v>
      </c>
      <c r="M315" s="400"/>
    </row>
    <row r="316" spans="1:13" x14ac:dyDescent="0.2">
      <c r="A316" s="187" t="s">
        <v>321</v>
      </c>
      <c r="B316" s="74">
        <v>15908.1</v>
      </c>
      <c r="C316" s="74">
        <v>16406.400000000001</v>
      </c>
      <c r="D316" s="74">
        <v>17001.8</v>
      </c>
      <c r="E316" s="74">
        <v>17773</v>
      </c>
      <c r="F316" s="74">
        <v>18981.599999999999</v>
      </c>
      <c r="M316" s="401"/>
    </row>
    <row r="317" spans="1:13" x14ac:dyDescent="0.2">
      <c r="A317" s="74" t="s">
        <v>506</v>
      </c>
      <c r="B317" s="382">
        <v>3.19</v>
      </c>
      <c r="C317" s="74">
        <v>3.85</v>
      </c>
      <c r="D317" s="298">
        <v>3.84</v>
      </c>
      <c r="E317" s="74">
        <v>5.09</v>
      </c>
      <c r="F317" s="74">
        <v>5.64</v>
      </c>
    </row>
    <row r="318" spans="1:13" x14ac:dyDescent="0.2">
      <c r="A318" s="74" t="s">
        <v>1118</v>
      </c>
      <c r="B318" s="74"/>
      <c r="C318" s="74"/>
      <c r="D318" s="74"/>
      <c r="E318" s="74"/>
      <c r="F318" s="74"/>
      <c r="J318" s="187" t="s">
        <v>795</v>
      </c>
      <c r="K318" s="187"/>
    </row>
    <row r="319" spans="1:13" x14ac:dyDescent="0.2">
      <c r="A319" s="74" t="s">
        <v>335</v>
      </c>
      <c r="B319" s="74"/>
      <c r="C319" s="74"/>
      <c r="D319" s="74"/>
      <c r="E319" s="74"/>
      <c r="F319" s="74"/>
      <c r="G319" s="187" t="s">
        <v>671</v>
      </c>
      <c r="J319" s="400" t="str">
        <f>VLOOKUP("(Delayed Data from nsdq)",A100:A330,1,0)</f>
        <v>(Delayed Data from NSDQ)</v>
      </c>
      <c r="K319" s="400"/>
      <c r="L319" s="400"/>
    </row>
    <row r="320" spans="1:13" x14ac:dyDescent="0.2">
      <c r="A320" s="74"/>
      <c r="B320" s="298">
        <v>44926</v>
      </c>
      <c r="C320" s="298">
        <v>44834</v>
      </c>
      <c r="D320" s="298">
        <v>44742</v>
      </c>
      <c r="E320" s="298">
        <v>44651</v>
      </c>
      <c r="F320" s="298">
        <v>44561</v>
      </c>
      <c r="J320" s="401" t="str">
        <f ca="1">OFFSET(J319,3,-9)</f>
        <v>Cash &amp; Equivalents</v>
      </c>
      <c r="K320" s="401"/>
      <c r="L320" s="401"/>
    </row>
    <row r="321" spans="1:11" x14ac:dyDescent="0.2">
      <c r="A321" t="s">
        <v>476</v>
      </c>
      <c r="B321" s="74"/>
      <c r="C321" s="74"/>
      <c r="D321" s="74"/>
      <c r="E321" s="74"/>
      <c r="F321" s="74"/>
      <c r="J321" s="400" t="e">
        <f>VLOOKUP("(Real Time Quote from BATS)",A102:A332,1,0)</f>
        <v>#N/A</v>
      </c>
      <c r="K321" s="400"/>
    </row>
    <row r="322" spans="1:11" x14ac:dyDescent="0.2">
      <c r="A322" t="s">
        <v>477</v>
      </c>
      <c r="B322" s="74">
        <v>51355</v>
      </c>
      <c r="C322" s="74">
        <v>48304</v>
      </c>
      <c r="D322" s="74">
        <v>48231</v>
      </c>
      <c r="E322" s="74">
        <v>51511</v>
      </c>
      <c r="F322" s="74">
        <v>63913</v>
      </c>
      <c r="J322" s="401" t="str">
        <f ca="1">OFFSET(J321,1,-9)</f>
        <v>Cash &amp; Equivalents</v>
      </c>
      <c r="K322" s="401"/>
    </row>
    <row r="323" spans="1:11" x14ac:dyDescent="0.2">
      <c r="A323" t="s">
        <v>478</v>
      </c>
      <c r="B323" s="74">
        <v>54180</v>
      </c>
      <c r="C323" s="74">
        <v>60932</v>
      </c>
      <c r="D323" s="74">
        <v>42242</v>
      </c>
      <c r="E323" s="74">
        <v>45400</v>
      </c>
      <c r="F323" s="74">
        <v>65253</v>
      </c>
      <c r="J323" s="401" t="str">
        <f ca="1">OFFSET(J322,1,-9)</f>
        <v>Receivables</v>
      </c>
      <c r="K323" s="401"/>
    </row>
    <row r="324" spans="1:11" x14ac:dyDescent="0.2">
      <c r="A324" t="s">
        <v>479</v>
      </c>
      <c r="B324" s="74">
        <v>0</v>
      </c>
      <c r="C324" s="74">
        <v>0</v>
      </c>
      <c r="D324" s="74">
        <v>0</v>
      </c>
      <c r="E324" s="74">
        <v>0</v>
      </c>
      <c r="F324" s="74">
        <v>0</v>
      </c>
    </row>
    <row r="325" spans="1:11" x14ac:dyDescent="0.2">
      <c r="A325" t="s">
        <v>46</v>
      </c>
      <c r="B325" s="74">
        <v>6820</v>
      </c>
      <c r="C325" s="74">
        <v>4946</v>
      </c>
      <c r="D325" s="74">
        <v>5433</v>
      </c>
      <c r="E325" s="74">
        <v>5460</v>
      </c>
      <c r="F325" s="74">
        <v>5876</v>
      </c>
      <c r="J325" s="401">
        <f ca="1">OFFSET(J321,-1,-9)</f>
        <v>0</v>
      </c>
      <c r="K325" s="401"/>
    </row>
    <row r="326" spans="1:11" x14ac:dyDescent="0.2">
      <c r="A326" s="187" t="s">
        <v>237</v>
      </c>
      <c r="B326" s="74">
        <v>16422</v>
      </c>
      <c r="C326" s="74">
        <v>21223</v>
      </c>
      <c r="D326" s="74">
        <v>16386</v>
      </c>
      <c r="E326" s="74">
        <v>15809</v>
      </c>
      <c r="F326" s="74">
        <v>18112</v>
      </c>
    </row>
    <row r="327" spans="1:11" x14ac:dyDescent="0.2">
      <c r="A327" t="s">
        <v>47</v>
      </c>
      <c r="B327" s="74">
        <v>128777</v>
      </c>
      <c r="C327" s="74">
        <v>135405</v>
      </c>
      <c r="D327" s="74">
        <v>112292</v>
      </c>
      <c r="E327" s="74">
        <v>118180</v>
      </c>
      <c r="F327" s="74">
        <v>153154</v>
      </c>
    </row>
    <row r="328" spans="1:11" x14ac:dyDescent="0.2">
      <c r="A328" t="s">
        <v>480</v>
      </c>
      <c r="B328" s="74">
        <v>42951</v>
      </c>
      <c r="C328" s="74">
        <v>42117</v>
      </c>
      <c r="D328" s="74">
        <v>40335</v>
      </c>
      <c r="E328" s="74">
        <v>39304</v>
      </c>
      <c r="F328" s="74">
        <v>39245</v>
      </c>
    </row>
    <row r="329" spans="1:11" x14ac:dyDescent="0.2">
      <c r="A329" t="s">
        <v>481</v>
      </c>
      <c r="B329" s="74">
        <v>114095</v>
      </c>
      <c r="C329" s="74">
        <v>120805</v>
      </c>
      <c r="D329" s="74">
        <v>131077</v>
      </c>
      <c r="E329" s="74">
        <v>141219</v>
      </c>
      <c r="F329" s="74">
        <v>138683</v>
      </c>
    </row>
    <row r="330" spans="1:11" x14ac:dyDescent="0.2">
      <c r="A330" t="s">
        <v>482</v>
      </c>
      <c r="B330" s="77">
        <v>0</v>
      </c>
      <c r="C330" s="77">
        <v>0</v>
      </c>
      <c r="D330" s="77">
        <v>0</v>
      </c>
      <c r="E330" s="77">
        <v>0</v>
      </c>
      <c r="F330" s="77">
        <v>0</v>
      </c>
    </row>
    <row r="331" spans="1:11" x14ac:dyDescent="0.2">
      <c r="A331" t="s">
        <v>483</v>
      </c>
      <c r="B331" s="74">
        <v>0</v>
      </c>
      <c r="C331" s="298">
        <v>0</v>
      </c>
      <c r="D331" s="298">
        <v>0</v>
      </c>
      <c r="E331" s="298">
        <v>0</v>
      </c>
      <c r="F331" s="298">
        <v>0</v>
      </c>
    </row>
    <row r="332" spans="1:11" x14ac:dyDescent="0.2">
      <c r="A332" t="s">
        <v>484</v>
      </c>
      <c r="B332" s="74">
        <v>0</v>
      </c>
      <c r="C332" s="298">
        <v>0</v>
      </c>
      <c r="D332" s="298">
        <v>0</v>
      </c>
      <c r="E332" s="298">
        <v>0</v>
      </c>
      <c r="F332" s="298">
        <v>0</v>
      </c>
    </row>
    <row r="333" spans="1:11" x14ac:dyDescent="0.2">
      <c r="A333" t="s">
        <v>485</v>
      </c>
      <c r="B333" s="74">
        <v>60924</v>
      </c>
      <c r="C333" s="298">
        <v>54428</v>
      </c>
      <c r="D333" s="298">
        <v>52605</v>
      </c>
      <c r="E333" s="298">
        <v>51959</v>
      </c>
      <c r="F333" s="298">
        <v>50109</v>
      </c>
    </row>
    <row r="334" spans="1:11" x14ac:dyDescent="0.2">
      <c r="A334" t="s">
        <v>130</v>
      </c>
      <c r="B334" s="74">
        <v>346747</v>
      </c>
      <c r="C334" s="74">
        <v>352755</v>
      </c>
      <c r="D334" s="74">
        <v>336309</v>
      </c>
      <c r="E334" s="74">
        <v>350662</v>
      </c>
      <c r="F334" s="74">
        <v>381191</v>
      </c>
    </row>
    <row r="335" spans="1:11" x14ac:dyDescent="0.2">
      <c r="A335" t="s">
        <v>486</v>
      </c>
      <c r="B335" s="74">
        <v>44926</v>
      </c>
      <c r="C335" s="298">
        <v>44834</v>
      </c>
      <c r="D335" s="74">
        <v>44742</v>
      </c>
      <c r="E335" s="74">
        <v>44651</v>
      </c>
      <c r="F335" s="74">
        <v>44561</v>
      </c>
    </row>
    <row r="336" spans="1:11" x14ac:dyDescent="0.2">
      <c r="A336" t="s">
        <v>487</v>
      </c>
      <c r="B336" s="74">
        <v>0</v>
      </c>
      <c r="C336" s="75">
        <v>0</v>
      </c>
      <c r="D336" s="74">
        <v>0</v>
      </c>
      <c r="E336" s="74">
        <v>0</v>
      </c>
      <c r="F336" s="74">
        <v>0</v>
      </c>
    </row>
    <row r="337" spans="1:6" x14ac:dyDescent="0.2">
      <c r="A337" t="s">
        <v>488</v>
      </c>
      <c r="B337" s="74">
        <v>57918</v>
      </c>
      <c r="C337" s="74">
        <v>64115</v>
      </c>
      <c r="D337" s="74">
        <v>48343</v>
      </c>
      <c r="E337" s="74">
        <v>52682</v>
      </c>
      <c r="F337" s="74">
        <v>74362</v>
      </c>
    </row>
    <row r="338" spans="1:6" x14ac:dyDescent="0.2">
      <c r="A338" t="s">
        <v>489</v>
      </c>
      <c r="B338" s="74">
        <v>11483</v>
      </c>
      <c r="C338" s="75">
        <v>21110</v>
      </c>
      <c r="D338" s="74">
        <v>24991</v>
      </c>
      <c r="E338" s="74">
        <v>16658</v>
      </c>
      <c r="F338" s="74">
        <v>16169</v>
      </c>
    </row>
    <row r="339" spans="1:6" x14ac:dyDescent="0.2">
      <c r="A339" t="s">
        <v>490</v>
      </c>
      <c r="B339" s="298">
        <v>0</v>
      </c>
      <c r="C339" s="298">
        <v>0</v>
      </c>
      <c r="D339" s="298">
        <v>0</v>
      </c>
      <c r="E339" s="298">
        <v>0</v>
      </c>
      <c r="F339" s="298">
        <v>0</v>
      </c>
    </row>
    <row r="340" spans="1:6" x14ac:dyDescent="0.2">
      <c r="A340" t="s">
        <v>491</v>
      </c>
      <c r="B340" s="298">
        <v>0</v>
      </c>
      <c r="C340" s="298">
        <v>0</v>
      </c>
      <c r="D340" s="298">
        <v>0</v>
      </c>
      <c r="E340" s="298">
        <v>0</v>
      </c>
      <c r="F340" s="298">
        <v>0</v>
      </c>
    </row>
    <row r="341" spans="1:6" x14ac:dyDescent="0.2">
      <c r="A341" t="s">
        <v>492</v>
      </c>
      <c r="B341" s="74">
        <v>0</v>
      </c>
      <c r="C341" s="75">
        <v>0</v>
      </c>
      <c r="D341" s="74">
        <v>0</v>
      </c>
      <c r="E341" s="74">
        <v>0</v>
      </c>
      <c r="F341" s="74">
        <v>0</v>
      </c>
    </row>
    <row r="342" spans="1:6" x14ac:dyDescent="0.2">
      <c r="A342" t="s">
        <v>238</v>
      </c>
      <c r="B342" s="74">
        <v>67885</v>
      </c>
      <c r="C342" s="75">
        <v>68757</v>
      </c>
      <c r="D342" s="74">
        <v>56539</v>
      </c>
      <c r="E342" s="74">
        <v>58168</v>
      </c>
      <c r="F342" s="74">
        <v>57043</v>
      </c>
    </row>
    <row r="343" spans="1:6" x14ac:dyDescent="0.2">
      <c r="A343" t="s">
        <v>50</v>
      </c>
      <c r="B343" s="74">
        <v>137286</v>
      </c>
      <c r="C343" s="298">
        <v>153982</v>
      </c>
      <c r="D343" s="74">
        <v>129873</v>
      </c>
      <c r="E343" s="74">
        <v>127508</v>
      </c>
      <c r="F343" s="74">
        <v>147574</v>
      </c>
    </row>
    <row r="344" spans="1:6" x14ac:dyDescent="0.2">
      <c r="A344" t="s">
        <v>329</v>
      </c>
      <c r="B344" s="74">
        <v>0</v>
      </c>
      <c r="C344" s="75">
        <v>0</v>
      </c>
      <c r="D344" s="74">
        <v>0</v>
      </c>
      <c r="E344" s="74">
        <v>0</v>
      </c>
      <c r="F344" s="74">
        <v>0</v>
      </c>
    </row>
    <row r="345" spans="1:6" x14ac:dyDescent="0.2">
      <c r="A345" t="s">
        <v>493</v>
      </c>
      <c r="B345" s="74">
        <v>0</v>
      </c>
      <c r="C345" s="75">
        <v>0</v>
      </c>
      <c r="D345" s="74">
        <v>0</v>
      </c>
      <c r="E345" s="74">
        <v>0</v>
      </c>
      <c r="F345" s="74">
        <v>0</v>
      </c>
    </row>
    <row r="346" spans="1:6" x14ac:dyDescent="0.2">
      <c r="A346" t="s">
        <v>494</v>
      </c>
      <c r="B346" s="74">
        <v>0</v>
      </c>
      <c r="C346" s="75">
        <v>0</v>
      </c>
      <c r="D346" s="74">
        <v>0</v>
      </c>
      <c r="E346" s="74">
        <v>0</v>
      </c>
      <c r="F346" s="74">
        <v>0</v>
      </c>
    </row>
    <row r="347" spans="1:6" x14ac:dyDescent="0.2">
      <c r="A347" t="s">
        <v>495</v>
      </c>
      <c r="B347" s="74">
        <v>99627</v>
      </c>
      <c r="C347" s="298">
        <v>98959</v>
      </c>
      <c r="D347" s="74">
        <v>94700</v>
      </c>
      <c r="E347" s="74">
        <v>103323</v>
      </c>
      <c r="F347" s="74">
        <v>106629</v>
      </c>
    </row>
    <row r="348" spans="1:6" x14ac:dyDescent="0.2">
      <c r="A348" t="s">
        <v>496</v>
      </c>
      <c r="B348" s="74">
        <v>0</v>
      </c>
      <c r="C348" s="298">
        <v>0</v>
      </c>
      <c r="D348" s="74">
        <v>0</v>
      </c>
      <c r="E348" s="74">
        <v>0</v>
      </c>
      <c r="F348" s="74">
        <v>0</v>
      </c>
    </row>
    <row r="349" spans="1:6" x14ac:dyDescent="0.2">
      <c r="A349" t="s">
        <v>497</v>
      </c>
      <c r="B349" s="77">
        <v>53107</v>
      </c>
      <c r="C349" s="298"/>
      <c r="D349" s="77">
        <v>53629</v>
      </c>
      <c r="E349" s="77">
        <v>52432</v>
      </c>
      <c r="F349" s="77">
        <v>55056</v>
      </c>
    </row>
    <row r="350" spans="1:6" x14ac:dyDescent="0.2">
      <c r="A350" t="s">
        <v>498</v>
      </c>
      <c r="B350" s="77">
        <v>0</v>
      </c>
      <c r="C350" s="298">
        <v>0</v>
      </c>
      <c r="D350" s="77">
        <v>0</v>
      </c>
      <c r="E350" s="77">
        <v>0</v>
      </c>
      <c r="F350" s="77">
        <v>0</v>
      </c>
    </row>
    <row r="351" spans="1:6" x14ac:dyDescent="0.2">
      <c r="A351" t="s">
        <v>131</v>
      </c>
      <c r="B351" s="74">
        <v>290020</v>
      </c>
      <c r="C351" s="74">
        <v>302083</v>
      </c>
      <c r="D351" s="74">
        <v>278202</v>
      </c>
      <c r="E351" s="74">
        <v>283263</v>
      </c>
      <c r="F351" s="74">
        <v>309259</v>
      </c>
    </row>
    <row r="352" spans="1:6" x14ac:dyDescent="0.2">
      <c r="A352" t="s">
        <v>499</v>
      </c>
      <c r="B352" s="74">
        <v>44926</v>
      </c>
      <c r="C352" s="74">
        <v>44834</v>
      </c>
      <c r="D352" s="74">
        <v>44742</v>
      </c>
      <c r="E352" s="74">
        <v>44651</v>
      </c>
      <c r="F352" s="74">
        <v>44561</v>
      </c>
    </row>
    <row r="353" spans="1:6" x14ac:dyDescent="0.2">
      <c r="A353" t="s">
        <v>243</v>
      </c>
      <c r="B353" s="77">
        <v>0</v>
      </c>
      <c r="C353" s="77">
        <v>0</v>
      </c>
      <c r="D353" s="77">
        <v>0</v>
      </c>
      <c r="E353" s="77">
        <v>0</v>
      </c>
      <c r="F353" s="77">
        <v>0</v>
      </c>
    </row>
    <row r="354" spans="1:6" x14ac:dyDescent="0.2">
      <c r="A354" t="s">
        <v>500</v>
      </c>
      <c r="B354" s="74">
        <v>66399</v>
      </c>
      <c r="C354" s="74">
        <v>64849</v>
      </c>
      <c r="D354" s="74">
        <v>62115</v>
      </c>
      <c r="E354" s="74">
        <v>61181</v>
      </c>
      <c r="F354" s="74">
        <v>58424</v>
      </c>
    </row>
    <row r="355" spans="1:6" x14ac:dyDescent="0.2">
      <c r="A355" t="s">
        <v>501</v>
      </c>
      <c r="B355" s="74">
        <v>0</v>
      </c>
      <c r="C355" s="74">
        <v>0</v>
      </c>
      <c r="D355" s="74">
        <v>0</v>
      </c>
      <c r="E355" s="74">
        <v>0</v>
      </c>
      <c r="F355" s="74">
        <v>0</v>
      </c>
    </row>
    <row r="356" spans="1:6" x14ac:dyDescent="0.2">
      <c r="A356" t="s">
        <v>229</v>
      </c>
      <c r="B356" s="74">
        <v>3240</v>
      </c>
      <c r="C356" s="74">
        <v>-3068</v>
      </c>
      <c r="D356" s="74">
        <v>5289</v>
      </c>
      <c r="E356" s="74">
        <v>12712</v>
      </c>
      <c r="F356" s="74">
        <v>14435</v>
      </c>
    </row>
    <row r="357" spans="1:6" x14ac:dyDescent="0.2">
      <c r="A357" t="s">
        <v>502</v>
      </c>
      <c r="B357" s="74">
        <v>-12912</v>
      </c>
      <c r="C357" s="74">
        <v>-11109</v>
      </c>
      <c r="D357" s="74">
        <v>-9297</v>
      </c>
      <c r="E357" s="74">
        <v>-6494</v>
      </c>
      <c r="F357" s="74">
        <v>-927</v>
      </c>
    </row>
    <row r="358" spans="1:6" x14ac:dyDescent="0.2">
      <c r="A358" t="s">
        <v>236</v>
      </c>
      <c r="B358" s="74">
        <v>0</v>
      </c>
      <c r="C358" s="74">
        <v>0</v>
      </c>
      <c r="D358" s="74">
        <v>0</v>
      </c>
      <c r="E358" s="74">
        <v>0</v>
      </c>
      <c r="F358" s="74">
        <v>0</v>
      </c>
    </row>
    <row r="359" spans="1:6" x14ac:dyDescent="0.2">
      <c r="A359" t="s">
        <v>503</v>
      </c>
      <c r="B359" s="74">
        <v>56727</v>
      </c>
      <c r="C359" s="74">
        <v>50672</v>
      </c>
      <c r="D359" s="74">
        <v>58107</v>
      </c>
      <c r="E359" s="74">
        <v>67399</v>
      </c>
      <c r="F359" s="74">
        <v>71932</v>
      </c>
    </row>
    <row r="360" spans="1:6" x14ac:dyDescent="0.2">
      <c r="A360" t="s">
        <v>504</v>
      </c>
      <c r="B360" s="77">
        <v>346747</v>
      </c>
      <c r="C360" s="77">
        <v>352755</v>
      </c>
      <c r="D360" s="77">
        <v>336309</v>
      </c>
      <c r="E360" s="77">
        <v>350662</v>
      </c>
      <c r="F360" s="77">
        <v>381191</v>
      </c>
    </row>
    <row r="361" spans="1:6" x14ac:dyDescent="0.2">
      <c r="A361" t="s">
        <v>505</v>
      </c>
      <c r="B361" s="74">
        <v>56727</v>
      </c>
      <c r="C361" s="74">
        <v>50672</v>
      </c>
      <c r="D361" s="74">
        <v>58107</v>
      </c>
      <c r="E361" s="74">
        <v>67399</v>
      </c>
      <c r="F361" s="74">
        <v>71932</v>
      </c>
    </row>
    <row r="362" spans="1:6" x14ac:dyDescent="0.2">
      <c r="A362" t="s">
        <v>321</v>
      </c>
      <c r="B362" s="298">
        <v>15821.9</v>
      </c>
      <c r="C362" s="298">
        <v>15908.1</v>
      </c>
      <c r="D362" s="298">
        <v>16070.7</v>
      </c>
      <c r="E362" s="298">
        <v>16185.1</v>
      </c>
      <c r="F362" s="298">
        <v>16319.4</v>
      </c>
    </row>
    <row r="363" spans="1:6" x14ac:dyDescent="0.2">
      <c r="A363" t="s">
        <v>506</v>
      </c>
      <c r="B363">
        <v>3.59</v>
      </c>
      <c r="C363">
        <v>3.19</v>
      </c>
      <c r="D363">
        <v>3.62</v>
      </c>
      <c r="E363">
        <v>4.16</v>
      </c>
      <c r="F363">
        <v>4.41</v>
      </c>
    </row>
    <row r="364" spans="1:6" x14ac:dyDescent="0.2">
      <c r="A364" t="s">
        <v>447</v>
      </c>
    </row>
    <row r="365" spans="1:6" x14ac:dyDescent="0.2">
      <c r="A365" t="s">
        <v>542</v>
      </c>
    </row>
    <row r="366" spans="1:6" x14ac:dyDescent="0.2">
      <c r="A366" t="s">
        <v>366</v>
      </c>
    </row>
    <row r="367" spans="1:6" x14ac:dyDescent="0.2">
      <c r="A367" t="s">
        <v>448</v>
      </c>
    </row>
    <row r="368" spans="1:6" x14ac:dyDescent="0.2">
      <c r="A368" t="s">
        <v>449</v>
      </c>
    </row>
    <row r="369" spans="1:16" x14ac:dyDescent="0.2">
      <c r="A369" t="s">
        <v>338</v>
      </c>
    </row>
    <row r="370" spans="1:16" x14ac:dyDescent="0.2">
      <c r="A370" t="s">
        <v>450</v>
      </c>
    </row>
    <row r="371" spans="1:16" x14ac:dyDescent="0.2">
      <c r="A371" t="s">
        <v>355</v>
      </c>
      <c r="B371" s="298"/>
      <c r="C371" s="298"/>
      <c r="D371" s="298"/>
      <c r="E371" s="298"/>
      <c r="F371" s="298"/>
    </row>
    <row r="372" spans="1:16" x14ac:dyDescent="0.2">
      <c r="A372" t="s">
        <v>451</v>
      </c>
      <c r="B372" s="298"/>
      <c r="C372" s="298"/>
      <c r="D372" s="298"/>
      <c r="E372" s="298"/>
      <c r="F372" s="298"/>
    </row>
    <row r="373" spans="1:16" x14ac:dyDescent="0.2">
      <c r="A373" t="s">
        <v>363</v>
      </c>
      <c r="B373" s="74"/>
      <c r="C373" s="74"/>
      <c r="D373" s="74"/>
      <c r="E373" s="74"/>
      <c r="F373" s="74"/>
      <c r="O373" s="74">
        <v>10029</v>
      </c>
      <c r="P373" s="187" t="s">
        <v>546</v>
      </c>
    </row>
    <row r="374" spans="1:16" x14ac:dyDescent="0.2">
      <c r="A374" t="s">
        <v>543</v>
      </c>
      <c r="B374" s="74"/>
      <c r="C374" s="74"/>
      <c r="D374" s="74"/>
      <c r="E374" s="74"/>
      <c r="F374" s="74"/>
      <c r="O374">
        <v>9260</v>
      </c>
    </row>
    <row r="375" spans="1:16" x14ac:dyDescent="0.2">
      <c r="A375" t="s">
        <v>452</v>
      </c>
      <c r="B375" s="298"/>
      <c r="C375" s="298"/>
      <c r="D375" s="298"/>
      <c r="E375" s="298"/>
      <c r="F375" s="298"/>
    </row>
    <row r="376" spans="1:16" x14ac:dyDescent="0.2">
      <c r="A376" t="s">
        <v>453</v>
      </c>
      <c r="B376" s="74"/>
      <c r="C376" s="74"/>
      <c r="D376" s="74"/>
      <c r="E376" s="74"/>
      <c r="F376" s="74"/>
    </row>
    <row r="377" spans="1:16" x14ac:dyDescent="0.2">
      <c r="A377" t="s">
        <v>454</v>
      </c>
      <c r="B377" s="74"/>
      <c r="C377" s="74"/>
      <c r="D377" s="74"/>
      <c r="E377" s="74"/>
      <c r="F377" s="74"/>
    </row>
    <row r="378" spans="1:16" x14ac:dyDescent="0.2">
      <c r="A378" t="s">
        <v>455</v>
      </c>
      <c r="B378" s="74"/>
      <c r="C378" s="74"/>
      <c r="D378" s="74"/>
      <c r="E378" s="74"/>
      <c r="F378" s="74"/>
    </row>
    <row r="379" spans="1:16" x14ac:dyDescent="0.2">
      <c r="A379" t="s">
        <v>1096</v>
      </c>
      <c r="B379" s="74"/>
      <c r="C379" s="74"/>
      <c r="D379" s="74"/>
      <c r="E379" s="74"/>
      <c r="F379" s="74"/>
    </row>
    <row r="380" spans="1:16" x14ac:dyDescent="0.2">
      <c r="A380" t="s">
        <v>456</v>
      </c>
      <c r="B380" s="74"/>
      <c r="C380" s="74"/>
      <c r="D380" s="74"/>
      <c r="E380" s="74"/>
      <c r="F380" s="74"/>
    </row>
    <row r="381" spans="1:16" x14ac:dyDescent="0.2">
      <c r="A381" t="s">
        <v>1097</v>
      </c>
      <c r="B381" s="74"/>
      <c r="C381" s="74"/>
      <c r="D381" s="74"/>
      <c r="E381" s="74"/>
      <c r="F381" s="74"/>
    </row>
    <row r="382" spans="1:16" x14ac:dyDescent="0.2">
      <c r="A382" t="s">
        <v>457</v>
      </c>
      <c r="B382" s="74"/>
      <c r="C382" s="74"/>
      <c r="D382" s="74"/>
      <c r="E382" s="74"/>
      <c r="F382" s="74"/>
    </row>
    <row r="383" spans="1:16" x14ac:dyDescent="0.2">
      <c r="A383" t="s">
        <v>458</v>
      </c>
      <c r="B383" s="74"/>
      <c r="C383" s="74"/>
      <c r="D383" s="74"/>
      <c r="E383" s="74"/>
      <c r="F383" s="74"/>
    </row>
    <row r="384" spans="1:16" x14ac:dyDescent="0.2">
      <c r="A384" t="s">
        <v>459</v>
      </c>
      <c r="B384" s="74"/>
      <c r="C384" s="74"/>
      <c r="D384" s="74"/>
      <c r="E384" s="74"/>
      <c r="F384" s="74"/>
    </row>
    <row r="385" spans="1:12" x14ac:dyDescent="0.2">
      <c r="A385" t="s">
        <v>387</v>
      </c>
      <c r="B385" s="74"/>
      <c r="C385" s="74"/>
      <c r="D385" s="74"/>
      <c r="E385" s="74"/>
      <c r="F385" s="74"/>
    </row>
    <row r="386" spans="1:12" x14ac:dyDescent="0.2">
      <c r="A386" t="s">
        <v>460</v>
      </c>
      <c r="B386" s="74"/>
      <c r="C386" s="74"/>
      <c r="D386" s="74"/>
      <c r="E386" s="74"/>
      <c r="F386" s="74"/>
    </row>
    <row r="387" spans="1:12" x14ac:dyDescent="0.2">
      <c r="A387" t="s">
        <v>311</v>
      </c>
      <c r="B387" s="74"/>
      <c r="C387" s="74"/>
      <c r="D387" s="74"/>
      <c r="E387" s="74"/>
      <c r="F387" s="74"/>
    </row>
    <row r="388" spans="1:12" x14ac:dyDescent="0.2">
      <c r="A388" t="s">
        <v>640</v>
      </c>
      <c r="B388" s="74"/>
      <c r="C388" s="74"/>
      <c r="D388" s="74"/>
      <c r="E388" s="74"/>
      <c r="F388" s="74"/>
    </row>
    <row r="389" spans="1:12" x14ac:dyDescent="0.2">
      <c r="A389" t="s">
        <v>569</v>
      </c>
      <c r="B389" s="298"/>
      <c r="C389" s="298"/>
      <c r="D389" s="298"/>
      <c r="E389" s="298"/>
      <c r="F389" s="298"/>
    </row>
    <row r="390" spans="1:12" x14ac:dyDescent="0.2">
      <c r="A390" t="s">
        <v>827</v>
      </c>
      <c r="B390" s="74"/>
      <c r="C390" s="74"/>
      <c r="D390" s="74"/>
      <c r="E390" s="74"/>
      <c r="F390" s="74"/>
    </row>
    <row r="391" spans="1:12" x14ac:dyDescent="0.2">
      <c r="A391" t="s">
        <v>674</v>
      </c>
      <c r="B391" s="74"/>
      <c r="C391" s="74"/>
      <c r="D391" s="74"/>
      <c r="E391" s="74"/>
      <c r="F391" s="74"/>
    </row>
    <row r="392" spans="1:12" x14ac:dyDescent="0.2">
      <c r="A392" t="s">
        <v>461</v>
      </c>
      <c r="B392" s="298"/>
      <c r="C392" s="298"/>
      <c r="D392" s="298"/>
      <c r="E392" s="298"/>
      <c r="F392" s="298"/>
    </row>
    <row r="393" spans="1:12" x14ac:dyDescent="0.2">
      <c r="A393" t="s">
        <v>325</v>
      </c>
      <c r="B393" s="74"/>
      <c r="C393" s="74"/>
      <c r="D393" s="74"/>
      <c r="E393" s="74"/>
      <c r="F393" s="74"/>
    </row>
    <row r="394" spans="1:12" x14ac:dyDescent="0.2">
      <c r="A394" t="s">
        <v>348</v>
      </c>
      <c r="B394" s="74"/>
      <c r="C394" s="74"/>
      <c r="D394" s="74"/>
      <c r="E394" s="74"/>
      <c r="F394" s="74"/>
    </row>
    <row r="395" spans="1:12" x14ac:dyDescent="0.2">
      <c r="A395" t="s">
        <v>462</v>
      </c>
      <c r="B395" s="74"/>
      <c r="C395" s="74"/>
      <c r="D395" s="74"/>
      <c r="E395" s="74"/>
      <c r="F395" s="74"/>
    </row>
    <row r="396" spans="1:12" x14ac:dyDescent="0.2">
      <c r="A396" t="s">
        <v>244</v>
      </c>
      <c r="B396" s="74"/>
      <c r="C396" s="74"/>
      <c r="D396" s="74"/>
      <c r="E396" s="74"/>
      <c r="F396" s="74"/>
    </row>
    <row r="397" spans="1:12" x14ac:dyDescent="0.2">
      <c r="A397" t="s">
        <v>463</v>
      </c>
      <c r="B397" s="74"/>
      <c r="C397" s="74"/>
      <c r="D397" s="74"/>
      <c r="E397" s="74"/>
      <c r="F397" s="74"/>
    </row>
    <row r="398" spans="1:12" x14ac:dyDescent="0.2">
      <c r="A398" t="s">
        <v>464</v>
      </c>
      <c r="B398" s="74"/>
      <c r="C398" s="74"/>
      <c r="D398" s="74"/>
      <c r="E398" s="74"/>
      <c r="F398" s="74"/>
    </row>
    <row r="399" spans="1:12" x14ac:dyDescent="0.2">
      <c r="A399" t="s">
        <v>312</v>
      </c>
      <c r="B399" s="74"/>
      <c r="C399" s="74"/>
      <c r="D399" s="74"/>
      <c r="E399" s="74"/>
      <c r="F399" s="74"/>
    </row>
    <row r="400" spans="1:12" s="186" customFormat="1" x14ac:dyDescent="0.2">
      <c r="A400" s="186" t="s">
        <v>322</v>
      </c>
      <c r="B400" s="379"/>
      <c r="C400" s="379"/>
      <c r="D400" s="379"/>
      <c r="E400" s="379"/>
      <c r="F400" s="379"/>
      <c r="G400"/>
      <c r="H400"/>
      <c r="I400"/>
      <c r="J400"/>
      <c r="K400"/>
      <c r="L400"/>
    </row>
    <row r="401" spans="1:12" x14ac:dyDescent="0.2">
      <c r="A401" t="s">
        <v>823</v>
      </c>
      <c r="B401" s="74"/>
      <c r="C401" s="74"/>
      <c r="D401" s="74"/>
      <c r="E401" s="74"/>
      <c r="F401" s="74"/>
    </row>
    <row r="402" spans="1:12" x14ac:dyDescent="0.2">
      <c r="A402" t="s">
        <v>334</v>
      </c>
      <c r="B402" s="74"/>
      <c r="C402" s="74"/>
      <c r="D402" s="74"/>
      <c r="E402" s="74"/>
      <c r="F402" s="74"/>
    </row>
    <row r="403" spans="1:12" x14ac:dyDescent="0.2">
      <c r="A403" t="s">
        <v>323</v>
      </c>
      <c r="B403" s="74"/>
      <c r="C403" s="74"/>
      <c r="D403" s="74"/>
      <c r="E403" s="74"/>
      <c r="F403" s="74"/>
    </row>
    <row r="404" spans="1:12" x14ac:dyDescent="0.2">
      <c r="A404" t="s">
        <v>324</v>
      </c>
      <c r="B404" s="74"/>
      <c r="C404" s="74"/>
      <c r="D404" s="74"/>
      <c r="E404" s="74"/>
      <c r="F404" s="74"/>
      <c r="G404" s="186"/>
      <c r="H404" s="186"/>
      <c r="I404" s="186"/>
      <c r="J404" s="186"/>
      <c r="K404" s="186"/>
      <c r="L404" s="186"/>
    </row>
    <row r="405" spans="1:12" x14ac:dyDescent="0.2">
      <c r="A405" t="s">
        <v>465</v>
      </c>
      <c r="B405" s="74"/>
      <c r="C405" s="74"/>
      <c r="D405" s="74"/>
      <c r="E405" s="74"/>
      <c r="F405" s="74"/>
    </row>
    <row r="406" spans="1:12" x14ac:dyDescent="0.2">
      <c r="A406" t="s">
        <v>466</v>
      </c>
      <c r="B406" s="74"/>
      <c r="C406" s="74"/>
      <c r="D406" s="74"/>
      <c r="E406" s="74"/>
      <c r="F406" s="74"/>
      <c r="H406" s="187"/>
      <c r="I406" s="187"/>
    </row>
    <row r="407" spans="1:12" x14ac:dyDescent="0.2">
      <c r="A407" t="s">
        <v>571</v>
      </c>
      <c r="B407" s="74"/>
      <c r="C407" s="74"/>
      <c r="D407" s="74"/>
      <c r="E407" s="74"/>
      <c r="F407" s="74"/>
      <c r="H407" s="74"/>
      <c r="I407" s="187"/>
    </row>
    <row r="408" spans="1:12" x14ac:dyDescent="0.2">
      <c r="A408" t="s">
        <v>658</v>
      </c>
      <c r="B408" s="74"/>
      <c r="C408" s="74"/>
      <c r="D408" s="74"/>
      <c r="E408" s="74"/>
      <c r="F408" s="74"/>
    </row>
    <row r="409" spans="1:12" x14ac:dyDescent="0.2">
      <c r="A409" t="s">
        <v>659</v>
      </c>
      <c r="B409" s="74"/>
      <c r="C409" s="74"/>
      <c r="D409" s="74"/>
      <c r="E409" s="74"/>
      <c r="F409" s="74"/>
    </row>
    <row r="410" spans="1:12" x14ac:dyDescent="0.2">
      <c r="A410" t="s">
        <v>467</v>
      </c>
      <c r="B410" s="74"/>
      <c r="C410" s="74"/>
      <c r="D410" s="74"/>
      <c r="E410" s="74"/>
      <c r="F410" s="74"/>
    </row>
    <row r="411" spans="1:12" x14ac:dyDescent="0.2">
      <c r="B411" s="74"/>
      <c r="C411" s="74"/>
      <c r="D411" s="74"/>
      <c r="E411" s="74"/>
      <c r="F411" s="74"/>
    </row>
    <row r="412" spans="1:12" x14ac:dyDescent="0.2">
      <c r="A412" t="s">
        <v>468</v>
      </c>
      <c r="B412" s="74"/>
      <c r="C412" s="74"/>
      <c r="D412" s="74"/>
      <c r="E412" s="74"/>
      <c r="F412" s="74"/>
    </row>
    <row r="413" spans="1:12" x14ac:dyDescent="0.2">
      <c r="A413" t="s">
        <v>469</v>
      </c>
      <c r="B413" s="74"/>
      <c r="C413" s="74"/>
      <c r="D413" s="74"/>
      <c r="E413" s="74"/>
      <c r="F413" s="74"/>
    </row>
    <row r="414" spans="1:12" x14ac:dyDescent="0.2">
      <c r="A414" t="s">
        <v>470</v>
      </c>
      <c r="B414" s="74"/>
      <c r="C414" s="74"/>
      <c r="D414" s="74"/>
      <c r="E414" s="74"/>
      <c r="F414" s="74"/>
    </row>
    <row r="415" spans="1:12" x14ac:dyDescent="0.2">
      <c r="A415" t="s">
        <v>471</v>
      </c>
      <c r="B415" s="74"/>
      <c r="C415" s="74"/>
      <c r="D415" s="74"/>
      <c r="E415" s="74"/>
      <c r="F415" s="74"/>
    </row>
    <row r="416" spans="1:12" x14ac:dyDescent="0.2">
      <c r="A416" t="s">
        <v>472</v>
      </c>
      <c r="B416" s="74"/>
      <c r="C416" s="74"/>
      <c r="D416" s="74"/>
      <c r="E416" s="74"/>
      <c r="F416" s="74"/>
    </row>
    <row r="417" spans="1:16" x14ac:dyDescent="0.2">
      <c r="A417" t="s">
        <v>473</v>
      </c>
      <c r="B417" s="74"/>
      <c r="C417" s="74"/>
      <c r="D417" s="74"/>
      <c r="E417" s="74"/>
      <c r="F417" s="74"/>
    </row>
    <row r="418" spans="1:16" x14ac:dyDescent="0.2">
      <c r="B418" s="74"/>
      <c r="C418" s="74"/>
      <c r="D418" s="74"/>
      <c r="E418" s="74"/>
      <c r="F418" s="74"/>
    </row>
    <row r="419" spans="1:16" x14ac:dyDescent="0.2">
      <c r="A419" t="s">
        <v>857</v>
      </c>
      <c r="B419" s="74"/>
      <c r="C419" s="74"/>
      <c r="D419" s="74"/>
      <c r="E419" s="74"/>
      <c r="F419" s="74"/>
      <c r="O419" s="74">
        <v>10326</v>
      </c>
      <c r="P419" s="187" t="s">
        <v>546</v>
      </c>
    </row>
    <row r="420" spans="1:16" x14ac:dyDescent="0.2">
      <c r="A420" t="s">
        <v>544</v>
      </c>
      <c r="B420" s="74"/>
      <c r="C420" s="74"/>
      <c r="D420" s="74"/>
      <c r="E420" s="74"/>
      <c r="F420" s="74"/>
      <c r="O420" s="74">
        <v>10052</v>
      </c>
    </row>
    <row r="421" spans="1:16" x14ac:dyDescent="0.2">
      <c r="A421" t="s">
        <v>858</v>
      </c>
      <c r="B421" s="74"/>
      <c r="C421" s="74"/>
      <c r="D421" s="74"/>
      <c r="E421" s="74"/>
      <c r="F421" s="74"/>
    </row>
    <row r="422" spans="1:16" x14ac:dyDescent="0.2">
      <c r="A422" t="s">
        <v>1098</v>
      </c>
      <c r="B422" s="74"/>
      <c r="C422" s="74"/>
      <c r="D422" s="74"/>
      <c r="E422" s="74"/>
      <c r="F422" s="74"/>
    </row>
    <row r="423" spans="1:16" x14ac:dyDescent="0.2">
      <c r="A423" t="s">
        <v>1104</v>
      </c>
      <c r="B423" s="74"/>
      <c r="C423" s="74"/>
      <c r="D423" s="74"/>
      <c r="E423" s="74"/>
      <c r="F423" s="74"/>
    </row>
    <row r="424" spans="1:16" x14ac:dyDescent="0.2">
      <c r="A424" t="s">
        <v>828</v>
      </c>
      <c r="B424" s="74"/>
      <c r="C424" s="74"/>
      <c r="D424" s="74"/>
      <c r="E424" s="74"/>
      <c r="F424" s="74"/>
    </row>
    <row r="425" spans="1:16" x14ac:dyDescent="0.2">
      <c r="A425" t="s">
        <v>474</v>
      </c>
      <c r="B425" s="74"/>
      <c r="C425" s="74"/>
      <c r="D425" s="74"/>
      <c r="E425" s="74"/>
      <c r="F425" s="74"/>
    </row>
    <row r="426" spans="1:16" x14ac:dyDescent="0.2">
      <c r="A426" t="s">
        <v>1105</v>
      </c>
      <c r="B426" s="74"/>
      <c r="C426" s="74"/>
      <c r="D426" s="74"/>
      <c r="E426" s="74"/>
      <c r="F426" s="74"/>
    </row>
    <row r="427" spans="1:16" x14ac:dyDescent="0.2">
      <c r="A427" t="s">
        <v>475</v>
      </c>
      <c r="B427" s="74"/>
      <c r="C427" s="74"/>
      <c r="D427" s="74"/>
      <c r="E427" s="74"/>
      <c r="F427" s="74"/>
    </row>
    <row r="428" spans="1:16" x14ac:dyDescent="0.2">
      <c r="A428" t="s">
        <v>660</v>
      </c>
      <c r="B428" s="74"/>
      <c r="C428" s="74"/>
      <c r="D428" s="74"/>
      <c r="E428" s="74"/>
      <c r="F428" s="74"/>
    </row>
    <row r="429" spans="1:16" x14ac:dyDescent="0.2">
      <c r="A429" t="s">
        <v>641</v>
      </c>
      <c r="B429" s="74"/>
      <c r="C429" s="74"/>
      <c r="D429" s="74"/>
      <c r="E429" s="74"/>
      <c r="F429" s="74"/>
    </row>
    <row r="430" spans="1:16" x14ac:dyDescent="0.2">
      <c r="A430" t="s">
        <v>642</v>
      </c>
      <c r="B430" s="74"/>
      <c r="C430" s="74"/>
      <c r="D430" s="74"/>
      <c r="E430" s="74"/>
      <c r="F430" s="74"/>
    </row>
    <row r="431" spans="1:16" x14ac:dyDescent="0.2">
      <c r="A431" t="s">
        <v>643</v>
      </c>
      <c r="B431" s="74"/>
      <c r="C431" s="74"/>
      <c r="D431" s="74"/>
      <c r="E431" s="74"/>
      <c r="F431" s="74"/>
    </row>
    <row r="599" spans="3:6" x14ac:dyDescent="0.2">
      <c r="C599" s="75"/>
      <c r="D599" s="75"/>
      <c r="E599" s="75"/>
      <c r="F599" s="75"/>
    </row>
    <row r="600" spans="3:6" x14ac:dyDescent="0.2">
      <c r="C600" s="75"/>
      <c r="D600" s="75"/>
      <c r="E600" s="75"/>
      <c r="F600" s="75"/>
    </row>
    <row r="601" spans="3:6" x14ac:dyDescent="0.2">
      <c r="C601" s="75"/>
      <c r="D601" s="75"/>
      <c r="E601" s="75"/>
      <c r="F601" s="75"/>
    </row>
    <row r="602" spans="3:6" x14ac:dyDescent="0.2">
      <c r="C602" s="75"/>
      <c r="D602" s="75"/>
      <c r="E602" s="75"/>
      <c r="F602" s="75"/>
    </row>
    <row r="603" spans="3:6" x14ac:dyDescent="0.2">
      <c r="C603" s="75"/>
      <c r="D603" s="75"/>
      <c r="E603" s="75"/>
      <c r="F603" s="75"/>
    </row>
    <row r="604" spans="3:6" x14ac:dyDescent="0.2">
      <c r="C604" s="75"/>
      <c r="D604" s="75"/>
      <c r="E604" s="75"/>
      <c r="F604" s="75"/>
    </row>
    <row r="616" spans="2:6" x14ac:dyDescent="0.2">
      <c r="B616" s="298"/>
      <c r="C616" s="298"/>
      <c r="D616" s="298"/>
      <c r="E616" s="298"/>
      <c r="F616" s="298"/>
    </row>
    <row r="618" spans="2:6" x14ac:dyDescent="0.2">
      <c r="B618" s="74"/>
      <c r="C618" s="74"/>
      <c r="D618" s="74"/>
      <c r="E618" s="74"/>
      <c r="F618" s="74"/>
    </row>
    <row r="619" spans="2:6" x14ac:dyDescent="0.2">
      <c r="B619" s="74"/>
      <c r="C619" s="74"/>
      <c r="D619" s="74"/>
      <c r="E619" s="74"/>
      <c r="F619" s="74"/>
    </row>
    <row r="621" spans="2:6" x14ac:dyDescent="0.2">
      <c r="B621" s="74"/>
      <c r="C621" s="74"/>
      <c r="D621" s="74"/>
      <c r="E621" s="74"/>
      <c r="F621" s="74"/>
    </row>
    <row r="622" spans="2:6" x14ac:dyDescent="0.2">
      <c r="B622" s="74"/>
    </row>
    <row r="623" spans="2:6" x14ac:dyDescent="0.2">
      <c r="B623" s="74"/>
      <c r="C623" s="74"/>
      <c r="D623" s="74"/>
      <c r="E623" s="74"/>
      <c r="F623" s="74"/>
    </row>
    <row r="624" spans="2:6" x14ac:dyDescent="0.2">
      <c r="B624" s="74"/>
      <c r="C624" s="74"/>
      <c r="D624" s="74"/>
      <c r="E624" s="74"/>
      <c r="F624" s="74"/>
    </row>
    <row r="625" spans="2:6" x14ac:dyDescent="0.2">
      <c r="B625" s="74"/>
      <c r="C625" s="74"/>
      <c r="D625" s="74"/>
      <c r="E625" s="74"/>
      <c r="F625" s="74"/>
    </row>
    <row r="627" spans="2:6" x14ac:dyDescent="0.2">
      <c r="B627" s="74"/>
      <c r="C627" s="74"/>
      <c r="D627" s="74"/>
      <c r="E627" s="74"/>
      <c r="F627" s="74"/>
    </row>
    <row r="628" spans="2:6" x14ac:dyDescent="0.2">
      <c r="B628" s="74"/>
      <c r="C628" s="74"/>
      <c r="D628" s="74"/>
      <c r="E628" s="74"/>
      <c r="F628" s="74"/>
    </row>
    <row r="629" spans="2:6" x14ac:dyDescent="0.2">
      <c r="C629" s="74"/>
      <c r="D629" s="74"/>
      <c r="E629" s="74"/>
      <c r="F629" s="74"/>
    </row>
    <row r="630" spans="2:6" x14ac:dyDescent="0.2">
      <c r="B630" s="74"/>
      <c r="C630" s="74"/>
      <c r="D630" s="74"/>
      <c r="E630" s="74"/>
      <c r="F630" s="74"/>
    </row>
    <row r="631" spans="2:6" x14ac:dyDescent="0.2">
      <c r="B631" s="298"/>
      <c r="C631" s="298"/>
      <c r="D631" s="298"/>
      <c r="E631" s="298"/>
      <c r="F631" s="298"/>
    </row>
    <row r="633" spans="2:6" x14ac:dyDescent="0.2">
      <c r="B633" s="74"/>
      <c r="C633" s="74"/>
      <c r="D633" s="74"/>
      <c r="E633" s="74"/>
      <c r="F633" s="74"/>
    </row>
    <row r="634" spans="2:6" x14ac:dyDescent="0.2">
      <c r="B634" s="74"/>
      <c r="C634" s="74"/>
      <c r="D634" s="74"/>
      <c r="E634" s="74"/>
      <c r="F634" s="74"/>
    </row>
    <row r="638" spans="2:6" x14ac:dyDescent="0.2">
      <c r="B638" s="74"/>
      <c r="C638" s="74"/>
      <c r="D638" s="74"/>
      <c r="E638" s="74"/>
      <c r="F638" s="74"/>
    </row>
    <row r="639" spans="2:6" x14ac:dyDescent="0.2">
      <c r="B639" s="74"/>
      <c r="C639" s="74"/>
      <c r="D639" s="74"/>
      <c r="E639" s="74"/>
      <c r="F639" s="74"/>
    </row>
    <row r="643" spans="2:6" x14ac:dyDescent="0.2">
      <c r="B643" s="74"/>
      <c r="C643" s="74"/>
      <c r="D643" s="74"/>
      <c r="E643" s="74"/>
      <c r="F643" s="74"/>
    </row>
    <row r="645" spans="2:6" x14ac:dyDescent="0.2">
      <c r="B645" s="74"/>
      <c r="C645" s="74"/>
      <c r="D645" s="74"/>
      <c r="E645" s="74"/>
      <c r="F645" s="74"/>
    </row>
    <row r="647" spans="2:6" x14ac:dyDescent="0.2">
      <c r="B647" s="74"/>
      <c r="C647" s="74"/>
      <c r="D647" s="74"/>
      <c r="E647" s="74"/>
      <c r="F647" s="74"/>
    </row>
    <row r="648" spans="2:6" x14ac:dyDescent="0.2">
      <c r="B648" s="298"/>
      <c r="C648" s="298"/>
      <c r="D648" s="298"/>
      <c r="E648" s="298"/>
      <c r="F648" s="298"/>
    </row>
    <row r="651" spans="2:6" x14ac:dyDescent="0.2">
      <c r="B651" s="74"/>
      <c r="C651" s="74"/>
      <c r="D651" s="74"/>
      <c r="E651" s="74"/>
      <c r="F651" s="74"/>
    </row>
    <row r="652" spans="2:6" x14ac:dyDescent="0.2">
      <c r="B652" s="74"/>
      <c r="C652" s="74"/>
      <c r="D652" s="74"/>
      <c r="E652" s="74"/>
      <c r="F652" s="74"/>
    </row>
    <row r="654" spans="2:6" x14ac:dyDescent="0.2">
      <c r="B654" s="74"/>
      <c r="C654" s="74"/>
      <c r="D654" s="74"/>
      <c r="E654" s="74"/>
      <c r="F654" s="74"/>
    </row>
    <row r="655" spans="2:6" x14ac:dyDescent="0.2">
      <c r="B655" s="74"/>
      <c r="C655" s="74"/>
      <c r="D655" s="74"/>
      <c r="E655" s="74"/>
      <c r="F655" s="74"/>
    </row>
    <row r="656" spans="2:6" x14ac:dyDescent="0.2">
      <c r="B656" s="74"/>
      <c r="C656" s="74"/>
      <c r="D656" s="74"/>
      <c r="E656" s="74"/>
      <c r="F656" s="74"/>
    </row>
    <row r="657" spans="2:6" x14ac:dyDescent="0.2">
      <c r="B657" s="74"/>
      <c r="C657" s="74"/>
      <c r="D657" s="74"/>
      <c r="E657" s="74"/>
      <c r="F657" s="74"/>
    </row>
    <row r="658" spans="2:6" x14ac:dyDescent="0.2">
      <c r="B658" s="77"/>
      <c r="C658" s="77"/>
      <c r="D658" s="77"/>
      <c r="E658" s="77"/>
      <c r="F658" s="77"/>
    </row>
    <row r="662" spans="2:6" x14ac:dyDescent="0.2">
      <c r="B662" s="298"/>
      <c r="C662" s="298"/>
      <c r="D662" s="298"/>
      <c r="E662" s="298"/>
      <c r="F662" s="298"/>
    </row>
    <row r="664" spans="2:6" x14ac:dyDescent="0.2">
      <c r="B664" s="74"/>
      <c r="C664" s="74"/>
      <c r="D664" s="74"/>
      <c r="E664" s="74"/>
      <c r="F664" s="74"/>
    </row>
    <row r="665" spans="2:6" x14ac:dyDescent="0.2">
      <c r="B665" s="74"/>
      <c r="C665" s="74"/>
      <c r="D665" s="74"/>
      <c r="E665" s="74"/>
      <c r="F665" s="74"/>
    </row>
    <row r="667" spans="2:6" x14ac:dyDescent="0.2">
      <c r="B667" s="74"/>
      <c r="C667" s="74"/>
      <c r="D667" s="74"/>
      <c r="E667" s="74"/>
      <c r="F667" s="74"/>
    </row>
    <row r="668" spans="2:6" x14ac:dyDescent="0.2">
      <c r="C668" s="74"/>
      <c r="D668" s="74"/>
      <c r="E668" s="74"/>
      <c r="F668" s="74"/>
    </row>
    <row r="669" spans="2:6" x14ac:dyDescent="0.2">
      <c r="B669" s="74"/>
      <c r="C669" s="74"/>
      <c r="D669" s="74"/>
      <c r="E669" s="74"/>
      <c r="F669" s="74"/>
    </row>
    <row r="670" spans="2:6" x14ac:dyDescent="0.2">
      <c r="B670" s="74"/>
      <c r="C670" s="74"/>
      <c r="D670" s="74"/>
      <c r="E670" s="74"/>
      <c r="F670" s="74"/>
    </row>
    <row r="671" spans="2:6" x14ac:dyDescent="0.2">
      <c r="B671" s="74"/>
      <c r="C671" s="74"/>
      <c r="D671" s="74"/>
      <c r="E671" s="74"/>
      <c r="F671" s="74"/>
    </row>
    <row r="673" spans="2:6" x14ac:dyDescent="0.2">
      <c r="B673" s="74"/>
      <c r="C673" s="74"/>
      <c r="D673" s="74"/>
      <c r="E673" s="74"/>
      <c r="F673" s="74"/>
    </row>
    <row r="674" spans="2:6" x14ac:dyDescent="0.2">
      <c r="B674" s="74"/>
      <c r="C674" s="74"/>
      <c r="D674" s="74"/>
      <c r="E674" s="74"/>
      <c r="F674" s="74"/>
    </row>
    <row r="676" spans="2:6" x14ac:dyDescent="0.2">
      <c r="B676" s="74"/>
      <c r="C676" s="74"/>
      <c r="D676" s="74"/>
      <c r="E676" s="74"/>
      <c r="F676" s="74"/>
    </row>
    <row r="677" spans="2:6" x14ac:dyDescent="0.2">
      <c r="B677" s="298"/>
      <c r="C677" s="298"/>
      <c r="D677" s="298"/>
      <c r="E677" s="298"/>
      <c r="F677" s="298"/>
    </row>
    <row r="679" spans="2:6" x14ac:dyDescent="0.2">
      <c r="B679" s="74"/>
      <c r="C679" s="74"/>
      <c r="D679" s="74"/>
      <c r="E679" s="74"/>
      <c r="F679" s="74"/>
    </row>
    <row r="680" spans="2:6" x14ac:dyDescent="0.2">
      <c r="B680" s="74"/>
      <c r="C680" s="74"/>
      <c r="D680" s="74"/>
      <c r="E680" s="74"/>
      <c r="F680" s="74"/>
    </row>
    <row r="682" spans="2:6" x14ac:dyDescent="0.2">
      <c r="B682" s="74"/>
      <c r="C682" s="74"/>
      <c r="D682" s="74"/>
      <c r="E682" s="74"/>
      <c r="F682" s="74"/>
    </row>
    <row r="684" spans="2:6" x14ac:dyDescent="0.2">
      <c r="B684" s="74"/>
      <c r="C684" s="74"/>
      <c r="D684" s="74"/>
      <c r="E684" s="74"/>
      <c r="F684" s="74"/>
    </row>
    <row r="685" spans="2:6" x14ac:dyDescent="0.2">
      <c r="B685" s="74"/>
      <c r="C685" s="74"/>
      <c r="D685" s="74"/>
      <c r="E685" s="74"/>
      <c r="F685" s="74"/>
    </row>
    <row r="689" spans="2:13" x14ac:dyDescent="0.2">
      <c r="B689" s="74"/>
      <c r="C689" s="74"/>
      <c r="D689" s="74"/>
      <c r="E689" s="74"/>
      <c r="F689" s="74"/>
    </row>
    <row r="691" spans="2:13" x14ac:dyDescent="0.2">
      <c r="B691" s="74"/>
    </row>
    <row r="693" spans="2:13" x14ac:dyDescent="0.2">
      <c r="B693" s="74"/>
      <c r="C693" s="74"/>
      <c r="D693" s="74"/>
      <c r="E693" s="74"/>
      <c r="F693" s="74"/>
    </row>
    <row r="694" spans="2:13" x14ac:dyDescent="0.2">
      <c r="B694" s="298"/>
      <c r="C694" s="298"/>
      <c r="D694" s="298"/>
      <c r="E694" s="298"/>
      <c r="F694" s="298"/>
    </row>
    <row r="696" spans="2:13" x14ac:dyDescent="0.2">
      <c r="B696" s="74"/>
      <c r="C696" s="74"/>
      <c r="D696" s="74"/>
      <c r="E696" s="74"/>
      <c r="F696" s="74"/>
    </row>
    <row r="697" spans="2:13" x14ac:dyDescent="0.2">
      <c r="B697" s="74"/>
      <c r="C697" s="74"/>
      <c r="D697" s="74"/>
      <c r="E697" s="74"/>
      <c r="F697" s="74"/>
    </row>
    <row r="698" spans="2:13" x14ac:dyDescent="0.2">
      <c r="B698" s="74"/>
      <c r="C698" s="74"/>
      <c r="D698" s="74"/>
      <c r="E698" s="74"/>
      <c r="F698" s="74"/>
    </row>
    <row r="700" spans="2:13" x14ac:dyDescent="0.2">
      <c r="B700" s="74"/>
      <c r="C700" s="74"/>
      <c r="D700" s="74"/>
      <c r="E700" s="74"/>
      <c r="F700" s="74"/>
    </row>
    <row r="701" spans="2:13" x14ac:dyDescent="0.2">
      <c r="B701" s="74"/>
      <c r="C701" s="74"/>
      <c r="D701" s="74"/>
      <c r="E701" s="74"/>
      <c r="F701" s="74"/>
      <c r="M701" s="298"/>
    </row>
    <row r="702" spans="2:13" x14ac:dyDescent="0.2">
      <c r="B702" s="74"/>
      <c r="C702" s="74"/>
      <c r="D702" s="74"/>
      <c r="E702" s="74"/>
      <c r="F702" s="74"/>
    </row>
    <row r="703" spans="2:13" x14ac:dyDescent="0.2">
      <c r="B703" s="74"/>
      <c r="C703" s="74"/>
      <c r="D703" s="74"/>
      <c r="E703" s="74"/>
      <c r="F703" s="74"/>
      <c r="M703" s="74"/>
    </row>
    <row r="704" spans="2:13" x14ac:dyDescent="0.2">
      <c r="B704" s="77"/>
      <c r="C704" s="77"/>
      <c r="D704" s="77"/>
      <c r="E704" s="77"/>
      <c r="F704" s="77"/>
    </row>
    <row r="705" spans="8:13" x14ac:dyDescent="0.2">
      <c r="H705" s="298"/>
      <c r="I705" s="298"/>
      <c r="J705" s="298"/>
      <c r="K705" s="298"/>
      <c r="L705" s="298"/>
    </row>
    <row r="707" spans="8:13" x14ac:dyDescent="0.2">
      <c r="H707" s="74"/>
      <c r="I707" s="74"/>
      <c r="J707" s="74"/>
      <c r="K707" s="74"/>
      <c r="L707" s="74"/>
    </row>
    <row r="708" spans="8:13" x14ac:dyDescent="0.2">
      <c r="M708" s="74"/>
    </row>
    <row r="709" spans="8:13" x14ac:dyDescent="0.2">
      <c r="M709" s="74"/>
    </row>
    <row r="710" spans="8:13" x14ac:dyDescent="0.2">
      <c r="M710" s="74"/>
    </row>
    <row r="712" spans="8:13" x14ac:dyDescent="0.2">
      <c r="H712" s="74"/>
      <c r="I712" s="74"/>
      <c r="J712" s="74"/>
      <c r="K712" s="74"/>
      <c r="L712" s="74"/>
    </row>
    <row r="713" spans="8:13" x14ac:dyDescent="0.2">
      <c r="H713" s="74"/>
      <c r="I713" s="74"/>
      <c r="J713" s="74"/>
      <c r="K713" s="74"/>
      <c r="L713" s="74"/>
      <c r="M713" s="74"/>
    </row>
    <row r="714" spans="8:13" x14ac:dyDescent="0.2">
      <c r="H714" s="74"/>
      <c r="I714" s="74"/>
      <c r="J714" s="74"/>
      <c r="K714" s="74"/>
      <c r="L714" s="74"/>
    </row>
    <row r="715" spans="8:13" x14ac:dyDescent="0.2">
      <c r="M715" s="74"/>
    </row>
    <row r="716" spans="8:13" x14ac:dyDescent="0.2">
      <c r="H716" s="74"/>
      <c r="I716" s="74"/>
      <c r="J716" s="74"/>
      <c r="K716" s="74"/>
      <c r="L716" s="74"/>
      <c r="M716" s="298"/>
    </row>
    <row r="717" spans="8:13" x14ac:dyDescent="0.2">
      <c r="H717" s="74"/>
      <c r="I717" s="74"/>
      <c r="J717" s="74"/>
      <c r="K717" s="74"/>
      <c r="L717" s="74"/>
    </row>
    <row r="718" spans="8:13" x14ac:dyDescent="0.2">
      <c r="H718" s="74"/>
      <c r="I718" s="74"/>
      <c r="J718" s="74"/>
      <c r="K718" s="74"/>
      <c r="L718" s="74"/>
    </row>
    <row r="719" spans="8:13" x14ac:dyDescent="0.2">
      <c r="H719" s="74"/>
      <c r="I719" s="74"/>
      <c r="J719" s="74"/>
      <c r="K719" s="74"/>
      <c r="L719" s="74"/>
    </row>
    <row r="720" spans="8:13" x14ac:dyDescent="0.2">
      <c r="H720" s="298"/>
      <c r="I720" s="298"/>
      <c r="J720" s="298"/>
      <c r="K720" s="298"/>
      <c r="L720" s="298"/>
    </row>
    <row r="721" spans="7:13" x14ac:dyDescent="0.2">
      <c r="G721" s="75"/>
    </row>
    <row r="722" spans="7:13" x14ac:dyDescent="0.2">
      <c r="G722" s="75"/>
    </row>
    <row r="723" spans="7:13" x14ac:dyDescent="0.2">
      <c r="G723" s="75"/>
      <c r="H723" s="74"/>
      <c r="I723" s="74"/>
      <c r="J723" s="74"/>
      <c r="K723" s="74"/>
      <c r="L723" s="74"/>
      <c r="M723" s="74"/>
    </row>
    <row r="724" spans="7:13" x14ac:dyDescent="0.2">
      <c r="G724" s="75"/>
      <c r="M724" s="74"/>
    </row>
    <row r="725" spans="7:13" x14ac:dyDescent="0.2">
      <c r="G725" s="75"/>
      <c r="H725" s="74"/>
      <c r="I725" s="74"/>
      <c r="J725" s="74"/>
      <c r="K725" s="74"/>
      <c r="L725" s="74"/>
    </row>
    <row r="726" spans="7:13" x14ac:dyDescent="0.2">
      <c r="G726" s="75"/>
      <c r="I726" s="74"/>
      <c r="J726" s="74"/>
      <c r="K726" s="74"/>
      <c r="L726" s="74"/>
    </row>
    <row r="727" spans="7:13" x14ac:dyDescent="0.2">
      <c r="H727" s="74"/>
      <c r="I727" s="74"/>
      <c r="J727" s="74"/>
      <c r="K727" s="74"/>
      <c r="L727" s="74"/>
    </row>
    <row r="728" spans="7:13" x14ac:dyDescent="0.2">
      <c r="H728" s="74"/>
      <c r="I728" s="74"/>
      <c r="J728" s="74"/>
      <c r="K728" s="74"/>
      <c r="L728" s="74"/>
      <c r="M728" s="74"/>
    </row>
    <row r="730" spans="7:13" x14ac:dyDescent="0.2">
      <c r="M730" s="74"/>
    </row>
    <row r="732" spans="7:13" x14ac:dyDescent="0.2">
      <c r="H732" s="74"/>
      <c r="I732" s="74"/>
      <c r="J732" s="74"/>
      <c r="K732" s="74"/>
      <c r="L732" s="74"/>
      <c r="M732" s="74"/>
    </row>
    <row r="733" spans="7:13" x14ac:dyDescent="0.2">
      <c r="M733" s="298"/>
    </row>
    <row r="734" spans="7:13" x14ac:dyDescent="0.2">
      <c r="H734" s="74"/>
      <c r="I734" s="74"/>
      <c r="J734" s="74"/>
      <c r="K734" s="74"/>
      <c r="L734" s="74"/>
    </row>
    <row r="736" spans="7:13" x14ac:dyDescent="0.2">
      <c r="H736" s="74"/>
      <c r="I736" s="74"/>
      <c r="J736" s="74"/>
      <c r="K736" s="74"/>
      <c r="L736" s="74"/>
      <c r="M736" s="74"/>
    </row>
    <row r="737" spans="7:13" x14ac:dyDescent="0.2">
      <c r="H737" s="298"/>
      <c r="I737" s="298"/>
      <c r="J737" s="298"/>
      <c r="K737" s="298"/>
      <c r="L737" s="298"/>
      <c r="M737" s="74"/>
    </row>
    <row r="738" spans="7:13" x14ac:dyDescent="0.2">
      <c r="G738" s="298"/>
    </row>
    <row r="739" spans="7:13" x14ac:dyDescent="0.2">
      <c r="M739" s="74"/>
    </row>
    <row r="740" spans="7:13" x14ac:dyDescent="0.2">
      <c r="G740" s="74"/>
      <c r="H740" s="74"/>
      <c r="I740" s="74"/>
      <c r="J740" s="74"/>
      <c r="K740" s="74"/>
      <c r="L740" s="74"/>
      <c r="M740" s="74"/>
    </row>
    <row r="741" spans="7:13" x14ac:dyDescent="0.2">
      <c r="G741" s="74"/>
      <c r="H741" s="74"/>
      <c r="I741" s="74"/>
      <c r="J741" s="74"/>
      <c r="K741" s="74"/>
      <c r="L741" s="74"/>
      <c r="M741" s="74"/>
    </row>
    <row r="742" spans="7:13" x14ac:dyDescent="0.2">
      <c r="M742" s="74"/>
    </row>
    <row r="743" spans="7:13" x14ac:dyDescent="0.2">
      <c r="G743" s="74"/>
      <c r="H743" s="74"/>
      <c r="I743" s="74"/>
      <c r="J743" s="74"/>
      <c r="K743" s="74"/>
      <c r="L743" s="74"/>
      <c r="M743" s="77"/>
    </row>
    <row r="744" spans="7:13" x14ac:dyDescent="0.2">
      <c r="H744" s="74"/>
      <c r="I744" s="74"/>
      <c r="J744" s="74"/>
      <c r="K744" s="74"/>
      <c r="L744" s="74"/>
    </row>
    <row r="745" spans="7:13" x14ac:dyDescent="0.2">
      <c r="G745" s="74"/>
      <c r="H745" s="74"/>
      <c r="I745" s="74"/>
      <c r="J745" s="74"/>
      <c r="K745" s="74"/>
      <c r="L745" s="74"/>
    </row>
    <row r="746" spans="7:13" x14ac:dyDescent="0.2">
      <c r="G746" s="74"/>
      <c r="H746" s="74"/>
      <c r="I746" s="74"/>
      <c r="J746" s="74"/>
      <c r="K746" s="74"/>
      <c r="L746" s="74"/>
    </row>
    <row r="747" spans="7:13" x14ac:dyDescent="0.2">
      <c r="G747" s="74"/>
      <c r="H747" s="77"/>
      <c r="I747" s="77"/>
      <c r="J747" s="77"/>
      <c r="K747" s="77"/>
      <c r="L747" s="77"/>
      <c r="M747" s="298"/>
    </row>
    <row r="749" spans="7:13" x14ac:dyDescent="0.2">
      <c r="G749" s="74"/>
      <c r="M749" s="74"/>
    </row>
    <row r="750" spans="7:13" x14ac:dyDescent="0.2">
      <c r="G750" s="74"/>
      <c r="M750" s="74"/>
    </row>
    <row r="751" spans="7:13" x14ac:dyDescent="0.2">
      <c r="G751" s="74"/>
      <c r="H751" s="298"/>
      <c r="I751" s="298"/>
      <c r="J751" s="298"/>
      <c r="K751" s="298"/>
      <c r="L751" s="298"/>
    </row>
    <row r="752" spans="7:13" x14ac:dyDescent="0.2">
      <c r="G752" s="74"/>
      <c r="M752" s="74"/>
    </row>
    <row r="753" spans="7:13" x14ac:dyDescent="0.2">
      <c r="G753" s="298"/>
      <c r="H753" s="74"/>
      <c r="I753" s="74"/>
      <c r="J753" s="74"/>
      <c r="K753" s="74"/>
      <c r="L753" s="74"/>
    </row>
    <row r="754" spans="7:13" x14ac:dyDescent="0.2">
      <c r="H754" s="74"/>
      <c r="I754" s="74"/>
      <c r="J754" s="74"/>
      <c r="K754" s="74"/>
      <c r="L754" s="74"/>
      <c r="M754" s="74"/>
    </row>
    <row r="755" spans="7:13" x14ac:dyDescent="0.2">
      <c r="G755" s="74"/>
      <c r="M755" s="74"/>
    </row>
    <row r="756" spans="7:13" x14ac:dyDescent="0.2">
      <c r="G756" s="74"/>
      <c r="H756" s="74"/>
      <c r="I756" s="74"/>
      <c r="J756" s="74"/>
      <c r="K756" s="74"/>
      <c r="L756" s="74"/>
      <c r="M756" s="74"/>
    </row>
    <row r="757" spans="7:13" x14ac:dyDescent="0.2">
      <c r="I757" s="74"/>
      <c r="J757" s="74"/>
      <c r="K757" s="74"/>
      <c r="L757" s="74"/>
    </row>
    <row r="758" spans="7:13" x14ac:dyDescent="0.2">
      <c r="H758" s="74"/>
      <c r="I758" s="74"/>
      <c r="J758" s="74"/>
      <c r="K758" s="74"/>
      <c r="L758" s="74"/>
      <c r="M758" s="74"/>
    </row>
    <row r="759" spans="7:13" x14ac:dyDescent="0.2">
      <c r="H759" s="74"/>
      <c r="I759" s="74"/>
      <c r="J759" s="74"/>
      <c r="K759" s="74"/>
      <c r="L759" s="74"/>
      <c r="M759" s="74"/>
    </row>
    <row r="760" spans="7:13" x14ac:dyDescent="0.2">
      <c r="G760" s="74"/>
      <c r="H760" s="74"/>
      <c r="I760" s="74"/>
      <c r="J760" s="74"/>
      <c r="K760" s="74"/>
      <c r="L760" s="74"/>
    </row>
    <row r="761" spans="7:13" x14ac:dyDescent="0.2">
      <c r="G761" s="74"/>
      <c r="M761" s="74"/>
    </row>
    <row r="762" spans="7:13" x14ac:dyDescent="0.2">
      <c r="H762" s="74"/>
      <c r="I762" s="74"/>
      <c r="J762" s="74"/>
      <c r="K762" s="74"/>
      <c r="L762" s="74"/>
      <c r="M762" s="298"/>
    </row>
    <row r="763" spans="7:13" x14ac:dyDescent="0.2">
      <c r="H763" s="74"/>
      <c r="I763" s="74"/>
      <c r="J763" s="74"/>
      <c r="K763" s="74"/>
      <c r="L763" s="74"/>
    </row>
    <row r="764" spans="7:13" x14ac:dyDescent="0.2">
      <c r="M764" s="74"/>
    </row>
    <row r="765" spans="7:13" x14ac:dyDescent="0.2">
      <c r="G765" s="74"/>
      <c r="H765" s="74"/>
      <c r="I765" s="74"/>
      <c r="J765" s="74"/>
      <c r="K765" s="74"/>
      <c r="L765" s="74"/>
      <c r="M765" s="74"/>
    </row>
    <row r="766" spans="7:13" x14ac:dyDescent="0.2">
      <c r="H766" s="298"/>
      <c r="I766" s="298"/>
      <c r="J766" s="298"/>
      <c r="K766" s="298"/>
      <c r="L766" s="298"/>
    </row>
    <row r="767" spans="7:13" x14ac:dyDescent="0.2">
      <c r="G767" s="74"/>
    </row>
    <row r="768" spans="7:13" x14ac:dyDescent="0.2">
      <c r="H768" s="74"/>
      <c r="I768" s="74"/>
      <c r="J768" s="74"/>
      <c r="K768" s="74"/>
      <c r="L768" s="74"/>
    </row>
    <row r="769" spans="7:13" x14ac:dyDescent="0.2">
      <c r="G769" s="74"/>
      <c r="H769" s="74"/>
      <c r="I769" s="74"/>
      <c r="J769" s="74"/>
      <c r="K769" s="74"/>
      <c r="L769" s="74"/>
      <c r="M769" s="74"/>
    </row>
    <row r="770" spans="7:13" x14ac:dyDescent="0.2">
      <c r="G770" s="298"/>
      <c r="M770" s="74"/>
    </row>
    <row r="771" spans="7:13" x14ac:dyDescent="0.2">
      <c r="H771" s="74"/>
    </row>
    <row r="773" spans="7:13" x14ac:dyDescent="0.2">
      <c r="G773" s="74"/>
      <c r="H773" s="74"/>
      <c r="I773" s="74"/>
      <c r="J773" s="74"/>
      <c r="K773" s="74"/>
      <c r="L773" s="74"/>
    </row>
    <row r="774" spans="7:13" x14ac:dyDescent="0.2">
      <c r="G774" s="74"/>
      <c r="H774" s="74"/>
      <c r="I774" s="74"/>
      <c r="J774" s="74"/>
      <c r="K774" s="74"/>
      <c r="L774" s="74"/>
      <c r="M774" s="74"/>
    </row>
    <row r="776" spans="7:13" x14ac:dyDescent="0.2">
      <c r="G776" s="74"/>
      <c r="M776" s="74"/>
    </row>
    <row r="777" spans="7:13" x14ac:dyDescent="0.2">
      <c r="G777" s="74"/>
    </row>
    <row r="778" spans="7:13" x14ac:dyDescent="0.2">
      <c r="G778" s="74"/>
      <c r="H778" s="74"/>
      <c r="I778" s="74"/>
      <c r="J778" s="74"/>
      <c r="K778" s="74"/>
      <c r="L778" s="74"/>
      <c r="M778" s="74"/>
    </row>
    <row r="779" spans="7:13" x14ac:dyDescent="0.2">
      <c r="G779" s="74"/>
      <c r="M779" s="298"/>
    </row>
    <row r="780" spans="7:13" x14ac:dyDescent="0.2">
      <c r="G780" s="77"/>
      <c r="H780" s="74"/>
      <c r="I780" s="74"/>
      <c r="J780" s="74"/>
      <c r="K780" s="74"/>
      <c r="L780" s="74"/>
    </row>
    <row r="782" spans="7:13" x14ac:dyDescent="0.2">
      <c r="H782" s="74"/>
      <c r="I782" s="74"/>
      <c r="J782" s="74"/>
      <c r="K782" s="74"/>
      <c r="L782" s="74"/>
      <c r="M782" s="74"/>
    </row>
    <row r="783" spans="7:13" x14ac:dyDescent="0.2">
      <c r="H783" s="298"/>
      <c r="I783" s="298"/>
      <c r="J783" s="298"/>
      <c r="K783" s="298"/>
      <c r="L783" s="298"/>
      <c r="M783" s="74"/>
    </row>
    <row r="784" spans="7:13" x14ac:dyDescent="0.2">
      <c r="G784" s="298"/>
    </row>
    <row r="785" spans="7:13" x14ac:dyDescent="0.2">
      <c r="M785" s="74"/>
    </row>
    <row r="786" spans="7:13" x14ac:dyDescent="0.2">
      <c r="G786" s="74"/>
      <c r="H786" s="74"/>
      <c r="I786" s="74"/>
      <c r="J786" s="74"/>
      <c r="K786" s="74"/>
      <c r="L786" s="74"/>
      <c r="M786" s="74"/>
    </row>
    <row r="787" spans="7:13" x14ac:dyDescent="0.2">
      <c r="G787" s="74"/>
      <c r="H787" s="74"/>
      <c r="I787" s="74"/>
      <c r="J787" s="74"/>
      <c r="K787" s="74"/>
      <c r="L787" s="74"/>
      <c r="M787" s="74"/>
    </row>
    <row r="788" spans="7:13" x14ac:dyDescent="0.2">
      <c r="M788" s="74"/>
    </row>
    <row r="789" spans="7:13" x14ac:dyDescent="0.2">
      <c r="G789" s="74"/>
      <c r="H789" s="74"/>
      <c r="I789" s="74"/>
      <c r="J789" s="74"/>
      <c r="K789" s="74"/>
      <c r="L789" s="74"/>
      <c r="M789" s="77"/>
    </row>
    <row r="790" spans="7:13" x14ac:dyDescent="0.2">
      <c r="G790" s="74"/>
      <c r="H790" s="74"/>
      <c r="I790" s="74"/>
      <c r="J790" s="74"/>
      <c r="K790" s="74"/>
      <c r="L790" s="74"/>
    </row>
    <row r="791" spans="7:13" x14ac:dyDescent="0.2">
      <c r="G791" s="74"/>
      <c r="H791" s="74"/>
      <c r="I791" s="74"/>
      <c r="J791" s="74"/>
      <c r="K791" s="74"/>
      <c r="L791" s="74"/>
    </row>
    <row r="792" spans="7:13" x14ac:dyDescent="0.2">
      <c r="G792" s="74"/>
      <c r="H792" s="74"/>
      <c r="I792" s="74"/>
      <c r="J792" s="74"/>
      <c r="K792" s="74"/>
      <c r="L792" s="74"/>
    </row>
    <row r="793" spans="7:13" x14ac:dyDescent="0.2">
      <c r="G793" s="74"/>
      <c r="H793" s="77"/>
      <c r="I793" s="77"/>
      <c r="J793" s="77"/>
      <c r="K793" s="77"/>
      <c r="L793" s="77"/>
    </row>
    <row r="795" spans="7:13" x14ac:dyDescent="0.2">
      <c r="G795" s="74"/>
    </row>
    <row r="796" spans="7:13" x14ac:dyDescent="0.2">
      <c r="G796" s="74"/>
    </row>
    <row r="798" spans="7:13" x14ac:dyDescent="0.2">
      <c r="G798" s="74"/>
    </row>
    <row r="799" spans="7:13" x14ac:dyDescent="0.2">
      <c r="G799" s="298"/>
    </row>
    <row r="801" spans="7:7" x14ac:dyDescent="0.2">
      <c r="G801" s="74"/>
    </row>
    <row r="802" spans="7:7" x14ac:dyDescent="0.2">
      <c r="G802" s="74"/>
    </row>
    <row r="804" spans="7:7" x14ac:dyDescent="0.2">
      <c r="G804" s="74"/>
    </row>
    <row r="806" spans="7:7" x14ac:dyDescent="0.2">
      <c r="G806" s="74"/>
    </row>
    <row r="807" spans="7:7" x14ac:dyDescent="0.2">
      <c r="G807" s="74"/>
    </row>
    <row r="811" spans="7:7" x14ac:dyDescent="0.2">
      <c r="G811" s="74"/>
    </row>
    <row r="815" spans="7:7" x14ac:dyDescent="0.2">
      <c r="G815" s="74"/>
    </row>
    <row r="816" spans="7:7" x14ac:dyDescent="0.2">
      <c r="G816" s="298"/>
    </row>
    <row r="818" spans="7:7" x14ac:dyDescent="0.2">
      <c r="G818" s="74"/>
    </row>
    <row r="819" spans="7:7" x14ac:dyDescent="0.2">
      <c r="G819" s="74"/>
    </row>
    <row r="820" spans="7:7" x14ac:dyDescent="0.2">
      <c r="G820" s="74"/>
    </row>
    <row r="822" spans="7:7" x14ac:dyDescent="0.2">
      <c r="G822" s="74"/>
    </row>
    <row r="823" spans="7:7" x14ac:dyDescent="0.2">
      <c r="G823" s="74"/>
    </row>
    <row r="824" spans="7:7" x14ac:dyDescent="0.2">
      <c r="G824" s="74"/>
    </row>
    <row r="825" spans="7:7" x14ac:dyDescent="0.2">
      <c r="G825" s="74"/>
    </row>
    <row r="826" spans="7:7" x14ac:dyDescent="0.2">
      <c r="G826" s="77"/>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K387"/>
  <sheetViews>
    <sheetView topLeftCell="A270" workbookViewId="0">
      <selection activeCell="G286" sqref="G286"/>
    </sheetView>
  </sheetViews>
  <sheetFormatPr defaultRowHeight="12" x14ac:dyDescent="0.2"/>
  <cols>
    <col min="1" max="1" width="50.109375" bestFit="1" customWidth="1"/>
    <col min="2" max="2" width="12" bestFit="1" customWidth="1"/>
    <col min="3" max="3" width="18.21875" bestFit="1" customWidth="1"/>
    <col min="4" max="4" width="13.109375" bestFit="1" customWidth="1"/>
    <col min="5" max="6" width="11" bestFit="1" customWidth="1"/>
    <col min="7" max="7" width="10.88671875" customWidth="1"/>
  </cols>
  <sheetData>
    <row r="1" spans="1:1" x14ac:dyDescent="0.2">
      <c r="A1" s="186" t="str">
        <f>Analysis!E2</f>
        <v>aapl</v>
      </c>
    </row>
    <row r="2" spans="1:1" x14ac:dyDescent="0.2">
      <c r="A2" t="s">
        <v>583</v>
      </c>
    </row>
    <row r="3" spans="1:1" x14ac:dyDescent="0.2">
      <c r="A3" t="s">
        <v>822</v>
      </c>
    </row>
    <row r="4" spans="1:1" x14ac:dyDescent="0.2">
      <c r="A4" t="s">
        <v>1093</v>
      </c>
    </row>
    <row r="5" spans="1:1" x14ac:dyDescent="0.2">
      <c r="A5" t="s">
        <v>944</v>
      </c>
    </row>
    <row r="7" spans="1:1" x14ac:dyDescent="0.2">
      <c r="A7" t="s">
        <v>1020</v>
      </c>
    </row>
    <row r="8" spans="1:1" x14ac:dyDescent="0.2">
      <c r="A8" t="s">
        <v>313</v>
      </c>
    </row>
    <row r="9" spans="1:1" x14ac:dyDescent="0.2">
      <c r="A9" t="s">
        <v>384</v>
      </c>
    </row>
    <row r="10" spans="1:1" x14ac:dyDescent="0.2">
      <c r="A10" t="s">
        <v>665</v>
      </c>
    </row>
    <row r="11" spans="1:1" x14ac:dyDescent="0.2">
      <c r="A11" t="s">
        <v>666</v>
      </c>
    </row>
    <row r="12" spans="1:1" x14ac:dyDescent="0.2">
      <c r="A12" t="s">
        <v>385</v>
      </c>
    </row>
    <row r="13" spans="1:1" x14ac:dyDescent="0.2">
      <c r="A13" t="s">
        <v>584</v>
      </c>
    </row>
    <row r="14" spans="1:1" x14ac:dyDescent="0.2">
      <c r="A14" t="s">
        <v>386</v>
      </c>
    </row>
    <row r="16" spans="1:1" x14ac:dyDescent="0.2">
      <c r="A16" t="s">
        <v>514</v>
      </c>
    </row>
    <row r="18" spans="1:1" x14ac:dyDescent="0.2">
      <c r="A18" t="s">
        <v>241</v>
      </c>
    </row>
    <row r="19" spans="1:1" x14ac:dyDescent="0.2">
      <c r="A19" t="s">
        <v>784</v>
      </c>
    </row>
    <row r="21" spans="1:1" x14ac:dyDescent="0.2">
      <c r="A21" t="s">
        <v>336</v>
      </c>
    </row>
    <row r="22" spans="1:1" x14ac:dyDescent="0.2">
      <c r="A22" t="s">
        <v>337</v>
      </c>
    </row>
    <row r="23" spans="1:1" x14ac:dyDescent="0.2">
      <c r="A23" t="s">
        <v>338</v>
      </c>
    </row>
    <row r="24" spans="1:1" x14ac:dyDescent="0.2">
      <c r="A24" t="s">
        <v>339</v>
      </c>
    </row>
    <row r="25" spans="1:1" x14ac:dyDescent="0.2">
      <c r="A25" t="s">
        <v>507</v>
      </c>
    </row>
    <row r="26" spans="1:1" x14ac:dyDescent="0.2">
      <c r="A26" t="s">
        <v>340</v>
      </c>
    </row>
    <row r="27" spans="1:1" x14ac:dyDescent="0.2">
      <c r="A27" t="s">
        <v>341</v>
      </c>
    </row>
    <row r="29" spans="1:1" x14ac:dyDescent="0.2">
      <c r="A29" t="s">
        <v>785</v>
      </c>
    </row>
    <row r="31" spans="1:1" x14ac:dyDescent="0.2">
      <c r="A31" t="s">
        <v>342</v>
      </c>
    </row>
    <row r="32" spans="1:1" x14ac:dyDescent="0.2">
      <c r="A32" t="s">
        <v>343</v>
      </c>
    </row>
    <row r="33" spans="1:1" x14ac:dyDescent="0.2">
      <c r="A33" t="s">
        <v>242</v>
      </c>
    </row>
    <row r="34" spans="1:1" x14ac:dyDescent="0.2">
      <c r="A34" t="s">
        <v>344</v>
      </c>
    </row>
    <row r="35" spans="1:1" x14ac:dyDescent="0.2">
      <c r="A35" t="s">
        <v>345</v>
      </c>
    </row>
    <row r="36" spans="1:1" x14ac:dyDescent="0.2">
      <c r="A36" t="s">
        <v>346</v>
      </c>
    </row>
    <row r="38" spans="1:1" x14ac:dyDescent="0.2">
      <c r="A38" t="s">
        <v>861</v>
      </c>
    </row>
    <row r="39" spans="1:1" x14ac:dyDescent="0.2">
      <c r="A39" t="s">
        <v>786</v>
      </c>
    </row>
    <row r="41" spans="1:1" x14ac:dyDescent="0.2">
      <c r="A41" t="s">
        <v>347</v>
      </c>
    </row>
    <row r="42" spans="1:1" x14ac:dyDescent="0.2">
      <c r="A42" t="s">
        <v>348</v>
      </c>
    </row>
    <row r="43" spans="1:1" x14ac:dyDescent="0.2">
      <c r="A43" t="s">
        <v>349</v>
      </c>
    </row>
    <row r="44" spans="1:1" x14ac:dyDescent="0.2">
      <c r="A44" t="s">
        <v>350</v>
      </c>
    </row>
    <row r="45" spans="1:1" x14ac:dyDescent="0.2">
      <c r="A45" t="s">
        <v>508</v>
      </c>
    </row>
    <row r="47" spans="1:1" x14ac:dyDescent="0.2">
      <c r="A47" t="s">
        <v>787</v>
      </c>
    </row>
    <row r="49" spans="1:1" x14ac:dyDescent="0.2">
      <c r="A49" t="s">
        <v>351</v>
      </c>
    </row>
    <row r="50" spans="1:1" x14ac:dyDescent="0.2">
      <c r="A50" t="s">
        <v>352</v>
      </c>
    </row>
    <row r="51" spans="1:1" x14ac:dyDescent="0.2">
      <c r="A51" t="s">
        <v>344</v>
      </c>
    </row>
    <row r="52" spans="1:1" x14ac:dyDescent="0.2">
      <c r="A52" t="s">
        <v>345</v>
      </c>
    </row>
    <row r="53" spans="1:1" x14ac:dyDescent="0.2">
      <c r="A53" t="s">
        <v>353</v>
      </c>
    </row>
    <row r="54" spans="1:1" x14ac:dyDescent="0.2">
      <c r="A54" t="s">
        <v>354</v>
      </c>
    </row>
    <row r="56" spans="1:1" x14ac:dyDescent="0.2">
      <c r="A56" t="s">
        <v>788</v>
      </c>
    </row>
    <row r="58" spans="1:1" x14ac:dyDescent="0.2">
      <c r="A58" t="s">
        <v>355</v>
      </c>
    </row>
    <row r="59" spans="1:1" x14ac:dyDescent="0.2">
      <c r="A59" t="s">
        <v>356</v>
      </c>
    </row>
    <row r="60" spans="1:1" x14ac:dyDescent="0.2">
      <c r="A60" t="s">
        <v>332</v>
      </c>
    </row>
    <row r="61" spans="1:1" x14ac:dyDescent="0.2">
      <c r="A61" t="s">
        <v>357</v>
      </c>
    </row>
    <row r="62" spans="1:1" x14ac:dyDescent="0.2">
      <c r="A62" t="s">
        <v>358</v>
      </c>
    </row>
    <row r="63" spans="1:1" x14ac:dyDescent="0.2">
      <c r="A63" t="s">
        <v>359</v>
      </c>
    </row>
    <row r="64" spans="1:1" x14ac:dyDescent="0.2">
      <c r="A64" t="s">
        <v>360</v>
      </c>
    </row>
    <row r="66" spans="1:1" x14ac:dyDescent="0.2">
      <c r="A66" t="s">
        <v>789</v>
      </c>
    </row>
    <row r="68" spans="1:1" x14ac:dyDescent="0.2">
      <c r="A68" t="s">
        <v>361</v>
      </c>
    </row>
    <row r="69" spans="1:1" x14ac:dyDescent="0.2">
      <c r="A69" t="s">
        <v>362</v>
      </c>
    </row>
    <row r="71" spans="1:1" x14ac:dyDescent="0.2">
      <c r="A71" t="s">
        <v>790</v>
      </c>
    </row>
    <row r="73" spans="1:1" x14ac:dyDescent="0.2">
      <c r="A73" t="s">
        <v>363</v>
      </c>
    </row>
    <row r="74" spans="1:1" x14ac:dyDescent="0.2">
      <c r="A74" t="s">
        <v>336</v>
      </c>
    </row>
    <row r="75" spans="1:1" x14ac:dyDescent="0.2">
      <c r="A75" t="s">
        <v>364</v>
      </c>
    </row>
    <row r="76" spans="1:1" x14ac:dyDescent="0.2">
      <c r="A76" t="s">
        <v>342</v>
      </c>
    </row>
    <row r="77" spans="1:1" x14ac:dyDescent="0.2">
      <c r="A77" t="s">
        <v>350</v>
      </c>
    </row>
    <row r="78" spans="1:1" x14ac:dyDescent="0.2">
      <c r="A78" t="s">
        <v>351</v>
      </c>
    </row>
    <row r="79" spans="1:1" x14ac:dyDescent="0.2">
      <c r="A79" t="s">
        <v>823</v>
      </c>
    </row>
    <row r="80" spans="1:1" x14ac:dyDescent="0.2">
      <c r="A80" t="s">
        <v>824</v>
      </c>
    </row>
    <row r="82" spans="1:1" x14ac:dyDescent="0.2">
      <c r="A82" t="s">
        <v>365</v>
      </c>
    </row>
    <row r="83" spans="1:1" x14ac:dyDescent="0.2">
      <c r="A83" t="s">
        <v>325</v>
      </c>
    </row>
    <row r="84" spans="1:1" x14ac:dyDescent="0.2">
      <c r="A84" t="s">
        <v>791</v>
      </c>
    </row>
    <row r="85" spans="1:1" x14ac:dyDescent="0.2">
      <c r="A85" t="s">
        <v>792</v>
      </c>
    </row>
    <row r="86" spans="1:1" x14ac:dyDescent="0.2">
      <c r="A86" t="s">
        <v>367</v>
      </c>
    </row>
    <row r="88" spans="1:1" x14ac:dyDescent="0.2">
      <c r="A88" t="s">
        <v>368</v>
      </c>
    </row>
    <row r="89" spans="1:1" x14ac:dyDescent="0.2">
      <c r="A89" t="s">
        <v>369</v>
      </c>
    </row>
    <row r="90" spans="1:1" x14ac:dyDescent="0.2">
      <c r="A90" t="s">
        <v>370</v>
      </c>
    </row>
    <row r="92" spans="1:1" x14ac:dyDescent="0.2">
      <c r="A92" t="s">
        <v>509</v>
      </c>
    </row>
    <row r="95" spans="1:1" x14ac:dyDescent="0.2">
      <c r="A95" t="s">
        <v>374</v>
      </c>
    </row>
    <row r="96" spans="1:1" x14ac:dyDescent="0.2">
      <c r="A96" t="s">
        <v>375</v>
      </c>
    </row>
    <row r="97" spans="1:1" x14ac:dyDescent="0.2">
      <c r="A97" t="s">
        <v>376</v>
      </c>
    </row>
    <row r="98" spans="1:1" x14ac:dyDescent="0.2">
      <c r="A98" t="s">
        <v>380</v>
      </c>
    </row>
    <row r="99" spans="1:1" x14ac:dyDescent="0.2">
      <c r="A99" t="s">
        <v>383</v>
      </c>
    </row>
    <row r="100" spans="1:1" x14ac:dyDescent="0.2">
      <c r="A100" t="s">
        <v>382</v>
      </c>
    </row>
    <row r="102" spans="1:1" x14ac:dyDescent="0.2">
      <c r="A102" t="s">
        <v>510</v>
      </c>
    </row>
    <row r="105" spans="1:1" x14ac:dyDescent="0.2">
      <c r="A105" t="s">
        <v>378</v>
      </c>
    </row>
    <row r="106" spans="1:1" x14ac:dyDescent="0.2">
      <c r="A106" t="s">
        <v>354</v>
      </c>
    </row>
    <row r="107" spans="1:1" x14ac:dyDescent="0.2">
      <c r="A107" t="s">
        <v>371</v>
      </c>
    </row>
    <row r="109" spans="1:1" x14ac:dyDescent="0.2">
      <c r="A109" t="s">
        <v>511</v>
      </c>
    </row>
    <row r="112" spans="1:1" x14ac:dyDescent="0.2">
      <c r="A112" t="s">
        <v>372</v>
      </c>
    </row>
    <row r="113" spans="1:1" x14ac:dyDescent="0.2">
      <c r="A113" t="s">
        <v>373</v>
      </c>
    </row>
    <row r="114" spans="1:1" x14ac:dyDescent="0.2">
      <c r="A114" t="s">
        <v>825</v>
      </c>
    </row>
    <row r="115" spans="1:1" x14ac:dyDescent="0.2">
      <c r="A115" t="s">
        <v>377</v>
      </c>
    </row>
    <row r="116" spans="1:1" x14ac:dyDescent="0.2">
      <c r="A116" t="s">
        <v>512</v>
      </c>
    </row>
    <row r="117" spans="1:1" x14ac:dyDescent="0.2">
      <c r="A117" t="s">
        <v>379</v>
      </c>
    </row>
    <row r="118" spans="1:1" x14ac:dyDescent="0.2">
      <c r="A118" t="s">
        <v>793</v>
      </c>
    </row>
    <row r="119" spans="1:1" x14ac:dyDescent="0.2">
      <c r="A119" t="s">
        <v>381</v>
      </c>
    </row>
    <row r="120" spans="1:1" x14ac:dyDescent="0.2">
      <c r="A120" t="s">
        <v>513</v>
      </c>
    </row>
    <row r="122" spans="1:1" x14ac:dyDescent="0.2">
      <c r="A122" t="s">
        <v>563</v>
      </c>
    </row>
    <row r="125" spans="1:1" x14ac:dyDescent="0.2">
      <c r="A125" t="s">
        <v>1094</v>
      </c>
    </row>
    <row r="126" spans="1:1" x14ac:dyDescent="0.2">
      <c r="A126" t="s">
        <v>568</v>
      </c>
    </row>
    <row r="127" spans="1:1" x14ac:dyDescent="0.2">
      <c r="A127" t="s">
        <v>585</v>
      </c>
    </row>
    <row r="128" spans="1:1" x14ac:dyDescent="0.2">
      <c r="A128" t="s">
        <v>564</v>
      </c>
    </row>
    <row r="129" spans="1:1" x14ac:dyDescent="0.2">
      <c r="A129" t="s">
        <v>586</v>
      </c>
    </row>
    <row r="130" spans="1:1" x14ac:dyDescent="0.2">
      <c r="A130" t="s">
        <v>562</v>
      </c>
    </row>
    <row r="132" spans="1:1" x14ac:dyDescent="0.2">
      <c r="A132" t="s">
        <v>794</v>
      </c>
    </row>
    <row r="134" spans="1:1" x14ac:dyDescent="0.2">
      <c r="A134" t="s">
        <v>1020</v>
      </c>
    </row>
    <row r="136" spans="1:1" x14ac:dyDescent="0.2">
      <c r="A136" t="s">
        <v>313</v>
      </c>
    </row>
    <row r="138" spans="1:1" x14ac:dyDescent="0.2">
      <c r="A138" t="s">
        <v>384</v>
      </c>
    </row>
    <row r="139" spans="1:1" x14ac:dyDescent="0.2">
      <c r="A139" t="s">
        <v>665</v>
      </c>
    </row>
    <row r="140" spans="1:1" x14ac:dyDescent="0.2">
      <c r="A140" t="s">
        <v>666</v>
      </c>
    </row>
    <row r="141" spans="1:1" x14ac:dyDescent="0.2">
      <c r="A141" t="s">
        <v>385</v>
      </c>
    </row>
    <row r="142" spans="1:1" x14ac:dyDescent="0.2">
      <c r="A142" t="s">
        <v>584</v>
      </c>
    </row>
    <row r="143" spans="1:1" x14ac:dyDescent="0.2">
      <c r="A143" t="s">
        <v>386</v>
      </c>
    </row>
    <row r="145" spans="1:1" x14ac:dyDescent="0.2">
      <c r="A145" t="s">
        <v>387</v>
      </c>
    </row>
    <row r="147" spans="1:1" x14ac:dyDescent="0.2">
      <c r="A147" t="s">
        <v>944</v>
      </c>
    </row>
    <row r="148" spans="1:1" x14ac:dyDescent="0.2">
      <c r="A148" t="s">
        <v>388</v>
      </c>
    </row>
    <row r="149" spans="1:1" x14ac:dyDescent="0.2">
      <c r="A149" t="s">
        <v>389</v>
      </c>
    </row>
    <row r="150" spans="1:1" x14ac:dyDescent="0.2">
      <c r="A150" t="s">
        <v>390</v>
      </c>
    </row>
    <row r="151" spans="1:1" x14ac:dyDescent="0.2">
      <c r="A151" t="s">
        <v>391</v>
      </c>
    </row>
    <row r="152" spans="1:1" x14ac:dyDescent="0.2">
      <c r="A152" t="s">
        <v>392</v>
      </c>
    </row>
    <row r="153" spans="1:1" x14ac:dyDescent="0.2">
      <c r="A153" t="s">
        <v>314</v>
      </c>
    </row>
    <row r="154" spans="1:1" x14ac:dyDescent="0.2">
      <c r="A154" t="s">
        <v>588</v>
      </c>
    </row>
    <row r="155" spans="1:1" x14ac:dyDescent="0.2">
      <c r="A155" t="s">
        <v>393</v>
      </c>
    </row>
    <row r="156" spans="1:1" x14ac:dyDescent="0.2">
      <c r="A156" t="s">
        <v>515</v>
      </c>
    </row>
    <row r="157" spans="1:1" x14ac:dyDescent="0.2">
      <c r="A157" t="s">
        <v>826</v>
      </c>
    </row>
    <row r="159" spans="1:1" x14ac:dyDescent="0.2">
      <c r="A159" t="s">
        <v>394</v>
      </c>
    </row>
    <row r="160" spans="1:1" x14ac:dyDescent="0.2">
      <c r="A160" t="s">
        <v>516</v>
      </c>
    </row>
    <row r="161" spans="1:1" x14ac:dyDescent="0.2">
      <c r="A161" t="s">
        <v>517</v>
      </c>
    </row>
    <row r="162" spans="1:1" x14ac:dyDescent="0.2">
      <c r="A162" t="s">
        <v>1095</v>
      </c>
    </row>
    <row r="164" spans="1:1" x14ac:dyDescent="0.2">
      <c r="A164" t="s">
        <v>518</v>
      </c>
    </row>
    <row r="166" spans="1:1" x14ac:dyDescent="0.2">
      <c r="A166" t="s">
        <v>519</v>
      </c>
    </row>
    <row r="167" spans="1:1" x14ac:dyDescent="0.2">
      <c r="A167" t="s">
        <v>520</v>
      </c>
    </row>
    <row r="168" spans="1:1" x14ac:dyDescent="0.2">
      <c r="A168" t="s">
        <v>521</v>
      </c>
    </row>
    <row r="169" spans="1:1" x14ac:dyDescent="0.2">
      <c r="A169" t="s">
        <v>1021</v>
      </c>
    </row>
    <row r="170" spans="1:1" x14ac:dyDescent="0.2">
      <c r="A170" t="s">
        <v>399</v>
      </c>
    </row>
    <row r="171" spans="1:1" x14ac:dyDescent="0.2">
      <c r="A171" t="s">
        <v>522</v>
      </c>
    </row>
    <row r="173" spans="1:1" x14ac:dyDescent="0.2">
      <c r="A173" t="s">
        <v>523</v>
      </c>
    </row>
    <row r="175" spans="1:1" x14ac:dyDescent="0.2">
      <c r="A175" t="s">
        <v>1022</v>
      </c>
    </row>
    <row r="176" spans="1:1" x14ac:dyDescent="0.2">
      <c r="A176" t="s">
        <v>397</v>
      </c>
    </row>
    <row r="177" spans="1:1" x14ac:dyDescent="0.2">
      <c r="A177" t="s">
        <v>852</v>
      </c>
    </row>
    <row r="178" spans="1:1" x14ac:dyDescent="0.2">
      <c r="A178" t="s">
        <v>524</v>
      </c>
    </row>
    <row r="179" spans="1:1" x14ac:dyDescent="0.2">
      <c r="A179" t="s">
        <v>398</v>
      </c>
    </row>
    <row r="180" spans="1:1" x14ac:dyDescent="0.2">
      <c r="A180" t="s">
        <v>400</v>
      </c>
    </row>
    <row r="181" spans="1:1" x14ac:dyDescent="0.2">
      <c r="A181" t="s">
        <v>401</v>
      </c>
    </row>
    <row r="182" spans="1:1" x14ac:dyDescent="0.2">
      <c r="A182" t="s">
        <v>862</v>
      </c>
    </row>
    <row r="184" spans="1:1" x14ac:dyDescent="0.2">
      <c r="A184" t="s">
        <v>525</v>
      </c>
    </row>
    <row r="186" spans="1:1" x14ac:dyDescent="0.2">
      <c r="A186" t="s">
        <v>526</v>
      </c>
    </row>
    <row r="187" spans="1:1" x14ac:dyDescent="0.2">
      <c r="A187" t="s">
        <v>527</v>
      </c>
    </row>
    <row r="188" spans="1:1" x14ac:dyDescent="0.2">
      <c r="A188" t="s">
        <v>402</v>
      </c>
    </row>
    <row r="189" spans="1:1" x14ac:dyDescent="0.2">
      <c r="A189" t="s">
        <v>528</v>
      </c>
    </row>
    <row r="190" spans="1:1" x14ac:dyDescent="0.2">
      <c r="A190" t="s">
        <v>403</v>
      </c>
    </row>
    <row r="191" spans="1:1" x14ac:dyDescent="0.2">
      <c r="A191" t="s">
        <v>404</v>
      </c>
    </row>
    <row r="192" spans="1:1" x14ac:dyDescent="0.2">
      <c r="A192" t="s">
        <v>405</v>
      </c>
    </row>
    <row r="193" spans="1:1" x14ac:dyDescent="0.2">
      <c r="A193" t="s">
        <v>406</v>
      </c>
    </row>
    <row r="195" spans="1:1" x14ac:dyDescent="0.2">
      <c r="A195" t="s">
        <v>529</v>
      </c>
    </row>
    <row r="197" spans="1:1" x14ac:dyDescent="0.2">
      <c r="A197" t="s">
        <v>407</v>
      </c>
    </row>
    <row r="198" spans="1:1" x14ac:dyDescent="0.2">
      <c r="A198" t="s">
        <v>408</v>
      </c>
    </row>
    <row r="199" spans="1:1" x14ac:dyDescent="0.2">
      <c r="A199" t="s">
        <v>409</v>
      </c>
    </row>
    <row r="200" spans="1:1" x14ac:dyDescent="0.2">
      <c r="A200" t="s">
        <v>410</v>
      </c>
    </row>
    <row r="202" spans="1:1" x14ac:dyDescent="0.2">
      <c r="A202" t="s">
        <v>530</v>
      </c>
    </row>
    <row r="204" spans="1:1" x14ac:dyDescent="0.2">
      <c r="A204" t="s">
        <v>395</v>
      </c>
    </row>
    <row r="205" spans="1:1" x14ac:dyDescent="0.2">
      <c r="A205" t="s">
        <v>396</v>
      </c>
    </row>
    <row r="206" spans="1:1" x14ac:dyDescent="0.2">
      <c r="A206" s="74"/>
    </row>
    <row r="207" spans="1:1" x14ac:dyDescent="0.2">
      <c r="A207" t="s">
        <v>531</v>
      </c>
    </row>
    <row r="208" spans="1:1" x14ac:dyDescent="0.2">
      <c r="A208" t="s">
        <v>532</v>
      </c>
    </row>
    <row r="210" spans="1:3" x14ac:dyDescent="0.2">
      <c r="A210" s="74" t="s">
        <v>1109</v>
      </c>
    </row>
    <row r="211" spans="1:3" x14ac:dyDescent="0.2">
      <c r="A211" t="s">
        <v>1101</v>
      </c>
    </row>
    <row r="212" spans="1:3" x14ac:dyDescent="0.2">
      <c r="A212" s="74" t="s">
        <v>1110</v>
      </c>
    </row>
    <row r="213" spans="1:3" x14ac:dyDescent="0.2">
      <c r="A213">
        <v>152.55000000000001</v>
      </c>
      <c r="C213" s="75"/>
    </row>
    <row r="214" spans="1:3" x14ac:dyDescent="0.2">
      <c r="A214" s="74">
        <v>59114471</v>
      </c>
      <c r="C214" s="75"/>
    </row>
    <row r="215" spans="1:3" x14ac:dyDescent="0.2">
      <c r="A215" t="s">
        <v>1111</v>
      </c>
      <c r="C215" s="75"/>
    </row>
    <row r="216" spans="1:3" x14ac:dyDescent="0.2">
      <c r="A216" t="s">
        <v>1108</v>
      </c>
      <c r="C216" s="75"/>
    </row>
    <row r="217" spans="1:3" x14ac:dyDescent="0.2">
      <c r="A217" t="s">
        <v>1112</v>
      </c>
      <c r="C217" s="75"/>
    </row>
    <row r="218" spans="1:3" x14ac:dyDescent="0.2">
      <c r="A218" t="s">
        <v>533</v>
      </c>
      <c r="C218" s="75"/>
    </row>
    <row r="219" spans="1:3" x14ac:dyDescent="0.2">
      <c r="A219" t="s">
        <v>853</v>
      </c>
      <c r="C219" s="75"/>
    </row>
    <row r="220" spans="1:3" x14ac:dyDescent="0.2">
      <c r="A220" t="s">
        <v>854</v>
      </c>
      <c r="C220" s="75"/>
    </row>
    <row r="221" spans="1:3" x14ac:dyDescent="0.2">
      <c r="A221" t="s">
        <v>421</v>
      </c>
      <c r="C221" s="75"/>
    </row>
    <row r="222" spans="1:3" x14ac:dyDescent="0.2">
      <c r="A222" t="s">
        <v>338</v>
      </c>
      <c r="B222" t="s">
        <v>422</v>
      </c>
      <c r="C222" s="75" t="s">
        <v>423</v>
      </c>
    </row>
    <row r="223" spans="1:3" x14ac:dyDescent="0.2">
      <c r="A223">
        <v>1</v>
      </c>
      <c r="B223" t="s">
        <v>424</v>
      </c>
      <c r="C223" s="75">
        <v>0.24279999999999999</v>
      </c>
    </row>
    <row r="224" spans="1:3" x14ac:dyDescent="0.2">
      <c r="A224">
        <v>2</v>
      </c>
      <c r="B224" t="s">
        <v>425</v>
      </c>
      <c r="C224" s="75">
        <v>0.17829999999999999</v>
      </c>
    </row>
    <row r="225" spans="1:3" x14ac:dyDescent="0.2">
      <c r="A225">
        <v>3</v>
      </c>
      <c r="B225" t="s">
        <v>426</v>
      </c>
      <c r="C225" s="75">
        <v>9.1899999999999996E-2</v>
      </c>
    </row>
    <row r="226" spans="1:3" x14ac:dyDescent="0.2">
      <c r="A226">
        <v>4</v>
      </c>
      <c r="B226" t="s">
        <v>427</v>
      </c>
      <c r="C226" s="75">
        <v>0.05</v>
      </c>
    </row>
    <row r="227" spans="1:3" x14ac:dyDescent="0.2">
      <c r="A227">
        <v>5</v>
      </c>
      <c r="B227" t="s">
        <v>428</v>
      </c>
      <c r="C227" s="75">
        <v>2.1600000000000001E-2</v>
      </c>
    </row>
    <row r="228" spans="1:3" x14ac:dyDescent="0.2">
      <c r="A228" t="s">
        <v>429</v>
      </c>
      <c r="B228">
        <v>500</v>
      </c>
      <c r="C228" s="75">
        <v>0.1051</v>
      </c>
    </row>
    <row r="229" spans="1:3" x14ac:dyDescent="0.2">
      <c r="A229" t="s">
        <v>430</v>
      </c>
    </row>
    <row r="230" spans="1:3" x14ac:dyDescent="0.2">
      <c r="A230" t="s">
        <v>431</v>
      </c>
    </row>
    <row r="231" spans="1:3" x14ac:dyDescent="0.2">
      <c r="A231" t="s">
        <v>534</v>
      </c>
    </row>
    <row r="232" spans="1:3" x14ac:dyDescent="0.2">
      <c r="A232" t="s">
        <v>1099</v>
      </c>
    </row>
    <row r="233" spans="1:3" x14ac:dyDescent="0.2">
      <c r="A233" t="s">
        <v>855</v>
      </c>
    </row>
    <row r="234" spans="1:3" x14ac:dyDescent="0.2">
      <c r="A234" t="s">
        <v>854</v>
      </c>
    </row>
    <row r="235" spans="1:3" x14ac:dyDescent="0.2">
      <c r="A235" t="s">
        <v>416</v>
      </c>
    </row>
    <row r="236" spans="1:3" x14ac:dyDescent="0.2">
      <c r="A236" t="s">
        <v>417</v>
      </c>
    </row>
    <row r="237" spans="1:3" x14ac:dyDescent="0.2">
      <c r="A237" t="s">
        <v>413</v>
      </c>
      <c r="B237" t="s">
        <v>411</v>
      </c>
    </row>
    <row r="238" spans="1:3" x14ac:dyDescent="0.2">
      <c r="A238" t="s">
        <v>412</v>
      </c>
      <c r="B238" t="s">
        <v>411</v>
      </c>
    </row>
    <row r="239" spans="1:3" x14ac:dyDescent="0.2">
      <c r="A239" t="s">
        <v>414</v>
      </c>
      <c r="B239" t="s">
        <v>411</v>
      </c>
    </row>
    <row r="240" spans="1:3" x14ac:dyDescent="0.2">
      <c r="A240" t="s">
        <v>418</v>
      </c>
      <c r="B240" t="s">
        <v>411</v>
      </c>
    </row>
    <row r="241" spans="1:1" x14ac:dyDescent="0.2">
      <c r="A241" t="s">
        <v>415</v>
      </c>
    </row>
    <row r="242" spans="1:1" x14ac:dyDescent="0.2">
      <c r="A242" t="s">
        <v>419</v>
      </c>
    </row>
    <row r="243" spans="1:1" x14ac:dyDescent="0.2">
      <c r="A243" t="s">
        <v>420</v>
      </c>
    </row>
    <row r="244" spans="1:1" x14ac:dyDescent="0.2">
      <c r="A244" t="s">
        <v>1113</v>
      </c>
    </row>
    <row r="245" spans="1:1" x14ac:dyDescent="0.2">
      <c r="A245" t="s">
        <v>856</v>
      </c>
    </row>
    <row r="246" spans="1:1" x14ac:dyDescent="0.2">
      <c r="A246" t="s">
        <v>854</v>
      </c>
    </row>
    <row r="247" spans="1:1" x14ac:dyDescent="0.2">
      <c r="A247" t="s">
        <v>535</v>
      </c>
    </row>
    <row r="248" spans="1:1" x14ac:dyDescent="0.2">
      <c r="A248" t="s">
        <v>536</v>
      </c>
    </row>
    <row r="249" spans="1:1" x14ac:dyDescent="0.2">
      <c r="A249" t="s">
        <v>537</v>
      </c>
    </row>
    <row r="250" spans="1:1" x14ac:dyDescent="0.2">
      <c r="A250" t="s">
        <v>538</v>
      </c>
    </row>
    <row r="251" spans="1:1" x14ac:dyDescent="0.2">
      <c r="A251" t="s">
        <v>539</v>
      </c>
    </row>
    <row r="252" spans="1:1" x14ac:dyDescent="0.2">
      <c r="A252" t="s">
        <v>1114</v>
      </c>
    </row>
    <row r="253" spans="1:1" x14ac:dyDescent="0.2">
      <c r="A253" t="s">
        <v>1115</v>
      </c>
    </row>
    <row r="254" spans="1:1" x14ac:dyDescent="0.2">
      <c r="A254" t="s">
        <v>657</v>
      </c>
    </row>
    <row r="255" spans="1:1" x14ac:dyDescent="0.2">
      <c r="A255" t="s">
        <v>1119</v>
      </c>
    </row>
    <row r="256" spans="1:1" x14ac:dyDescent="0.2">
      <c r="A256" t="s">
        <v>570</v>
      </c>
    </row>
    <row r="257" spans="1:6" x14ac:dyDescent="0.2">
      <c r="A257" t="s">
        <v>588</v>
      </c>
    </row>
    <row r="258" spans="1:6" x14ac:dyDescent="0.2">
      <c r="A258" t="s">
        <v>667</v>
      </c>
    </row>
    <row r="259" spans="1:6" x14ac:dyDescent="0.2">
      <c r="A259" t="s">
        <v>1117</v>
      </c>
    </row>
    <row r="260" spans="1:6" x14ac:dyDescent="0.2">
      <c r="A260" t="s">
        <v>854</v>
      </c>
    </row>
    <row r="261" spans="1:6" x14ac:dyDescent="0.2">
      <c r="A261" t="s">
        <v>432</v>
      </c>
      <c r="B261" s="298"/>
      <c r="C261" s="298"/>
      <c r="D261" s="298"/>
      <c r="E261" s="298"/>
      <c r="F261" s="298"/>
    </row>
    <row r="262" spans="1:6" x14ac:dyDescent="0.2">
      <c r="A262" t="s">
        <v>433</v>
      </c>
      <c r="B262" s="74"/>
      <c r="C262" s="74"/>
      <c r="D262" s="74"/>
      <c r="E262" s="74"/>
      <c r="F262" s="74"/>
    </row>
    <row r="263" spans="1:6" x14ac:dyDescent="0.2">
      <c r="A263" t="s">
        <v>434</v>
      </c>
      <c r="B263" s="74"/>
      <c r="C263" s="74"/>
      <c r="D263" s="74"/>
      <c r="E263" s="74"/>
      <c r="F263" s="74"/>
    </row>
    <row r="264" spans="1:6" x14ac:dyDescent="0.2">
      <c r="A264" t="s">
        <v>435</v>
      </c>
      <c r="B264" s="74"/>
      <c r="C264" s="74"/>
      <c r="D264" s="74"/>
      <c r="E264" s="74"/>
      <c r="F264" s="74"/>
    </row>
    <row r="265" spans="1:6" x14ac:dyDescent="0.2">
      <c r="A265" t="s">
        <v>436</v>
      </c>
      <c r="B265" s="74"/>
      <c r="C265" s="74"/>
      <c r="D265" s="74"/>
      <c r="E265" s="74"/>
      <c r="F265" s="74"/>
    </row>
    <row r="266" spans="1:6" x14ac:dyDescent="0.2">
      <c r="A266" t="s">
        <v>437</v>
      </c>
      <c r="B266" s="74"/>
      <c r="C266" s="74"/>
      <c r="D266" s="74"/>
      <c r="E266" s="74"/>
      <c r="F266" s="74"/>
    </row>
    <row r="267" spans="1:6" x14ac:dyDescent="0.2">
      <c r="A267" t="s">
        <v>1100</v>
      </c>
      <c r="B267" s="74"/>
      <c r="C267" s="74"/>
      <c r="D267" s="74"/>
      <c r="E267" s="74"/>
      <c r="F267" s="74"/>
    </row>
    <row r="268" spans="1:6" x14ac:dyDescent="0.2">
      <c r="B268" s="74"/>
      <c r="C268" s="74"/>
      <c r="D268" s="74"/>
      <c r="E268" s="74"/>
      <c r="F268" s="74"/>
    </row>
    <row r="269" spans="1:6" x14ac:dyDescent="0.2">
      <c r="A269" t="s">
        <v>147</v>
      </c>
      <c r="B269" s="74"/>
      <c r="C269" s="74"/>
      <c r="D269" s="74"/>
      <c r="E269" s="74"/>
      <c r="F269" s="74"/>
    </row>
    <row r="270" spans="1:6" x14ac:dyDescent="0.2">
      <c r="A270" t="s">
        <v>589</v>
      </c>
      <c r="B270" s="74"/>
      <c r="C270" s="74"/>
      <c r="D270" s="74"/>
      <c r="E270" s="74"/>
      <c r="F270" s="74"/>
    </row>
    <row r="271" spans="1:6" x14ac:dyDescent="0.2">
      <c r="B271" s="74"/>
      <c r="C271" s="74"/>
      <c r="D271" s="74"/>
      <c r="E271" s="74"/>
      <c r="F271" s="74"/>
    </row>
    <row r="272" spans="1:6" x14ac:dyDescent="0.2">
      <c r="A272" t="s">
        <v>1120</v>
      </c>
      <c r="B272" s="74"/>
      <c r="C272" s="74"/>
      <c r="D272" s="74"/>
      <c r="E272" s="74"/>
      <c r="F272" s="74"/>
    </row>
    <row r="273" spans="1:6" x14ac:dyDescent="0.2">
      <c r="A273" t="s">
        <v>590</v>
      </c>
      <c r="B273" s="74"/>
      <c r="C273" s="74"/>
      <c r="D273" s="74"/>
      <c r="E273" s="74"/>
      <c r="F273" s="74"/>
    </row>
    <row r="274" spans="1:6" x14ac:dyDescent="0.2">
      <c r="B274" s="298">
        <v>44469</v>
      </c>
      <c r="C274" s="298">
        <v>44104</v>
      </c>
      <c r="D274" s="298">
        <v>43738</v>
      </c>
      <c r="E274" s="298">
        <v>43373</v>
      </c>
      <c r="F274" s="298" t="s">
        <v>1121</v>
      </c>
    </row>
    <row r="275" spans="1:6" x14ac:dyDescent="0.2">
      <c r="A275" t="s">
        <v>438</v>
      </c>
      <c r="B275" s="74">
        <v>365817</v>
      </c>
      <c r="C275" s="74">
        <v>274515</v>
      </c>
      <c r="D275" s="75">
        <v>260174</v>
      </c>
      <c r="E275" s="74">
        <v>265595</v>
      </c>
      <c r="F275" s="74" t="s">
        <v>1121</v>
      </c>
    </row>
    <row r="276" spans="1:6" x14ac:dyDescent="0.2">
      <c r="A276" t="s">
        <v>439</v>
      </c>
      <c r="B276" s="74">
        <v>212981</v>
      </c>
      <c r="C276" s="74">
        <v>169559</v>
      </c>
      <c r="D276" s="75">
        <v>161782</v>
      </c>
      <c r="E276" s="74">
        <v>163756</v>
      </c>
      <c r="F276" s="74" t="s">
        <v>1121</v>
      </c>
    </row>
    <row r="277" spans="1:6" x14ac:dyDescent="0.2">
      <c r="A277" t="s">
        <v>591</v>
      </c>
      <c r="B277" s="298">
        <v>152836</v>
      </c>
      <c r="C277" s="298">
        <v>104956</v>
      </c>
      <c r="D277" s="298">
        <v>98392</v>
      </c>
      <c r="E277" s="298">
        <v>101839</v>
      </c>
      <c r="F277" s="298" t="s">
        <v>1121</v>
      </c>
    </row>
    <row r="278" spans="1:6" x14ac:dyDescent="0.2">
      <c r="A278" t="s">
        <v>592</v>
      </c>
      <c r="B278" s="74">
        <v>43887</v>
      </c>
      <c r="C278" s="74">
        <v>38668</v>
      </c>
      <c r="D278" s="298">
        <v>34462</v>
      </c>
      <c r="E278" s="74">
        <v>30941</v>
      </c>
      <c r="F278" s="74" t="s">
        <v>1121</v>
      </c>
    </row>
    <row r="279" spans="1:6" x14ac:dyDescent="0.2">
      <c r="A279" t="s">
        <v>440</v>
      </c>
      <c r="B279" s="74">
        <v>108949</v>
      </c>
      <c r="C279" s="74">
        <v>66288</v>
      </c>
      <c r="D279" s="74">
        <v>63930</v>
      </c>
      <c r="E279" s="74">
        <v>70898</v>
      </c>
      <c r="F279" s="74" t="s">
        <v>1121</v>
      </c>
    </row>
    <row r="280" spans="1:6" x14ac:dyDescent="0.2">
      <c r="A280" t="s">
        <v>593</v>
      </c>
      <c r="B280" s="74">
        <v>258</v>
      </c>
      <c r="C280" s="74">
        <v>803</v>
      </c>
      <c r="D280" s="74">
        <v>1807</v>
      </c>
      <c r="E280" s="74">
        <v>2005</v>
      </c>
      <c r="F280" s="74" t="s">
        <v>1121</v>
      </c>
    </row>
    <row r="281" spans="1:6" x14ac:dyDescent="0.2">
      <c r="A281" t="s">
        <v>441</v>
      </c>
      <c r="B281" s="298">
        <v>0</v>
      </c>
      <c r="C281" s="298">
        <v>0</v>
      </c>
      <c r="D281" s="298">
        <v>0</v>
      </c>
      <c r="E281" s="298">
        <v>0</v>
      </c>
      <c r="F281" s="298" t="s">
        <v>1121</v>
      </c>
    </row>
    <row r="282" spans="1:6" x14ac:dyDescent="0.2">
      <c r="A282" t="s">
        <v>442</v>
      </c>
      <c r="B282" s="77">
        <v>109207</v>
      </c>
      <c r="C282" s="77">
        <v>67091</v>
      </c>
      <c r="D282" s="77">
        <v>65737</v>
      </c>
      <c r="E282" s="77">
        <v>72903</v>
      </c>
      <c r="F282" s="77" t="s">
        <v>1121</v>
      </c>
    </row>
    <row r="283" spans="1:6" x14ac:dyDescent="0.2">
      <c r="A283" t="s">
        <v>443</v>
      </c>
      <c r="B283" s="77">
        <v>14527</v>
      </c>
      <c r="C283" s="77">
        <v>9680</v>
      </c>
      <c r="D283" s="77">
        <v>10481</v>
      </c>
      <c r="E283" s="77">
        <v>13372</v>
      </c>
      <c r="F283" s="77" t="s">
        <v>1121</v>
      </c>
    </row>
    <row r="284" spans="1:6" x14ac:dyDescent="0.2">
      <c r="A284" t="s">
        <v>594</v>
      </c>
      <c r="B284" s="74">
        <v>0</v>
      </c>
      <c r="C284" s="74">
        <v>0</v>
      </c>
      <c r="D284" s="74">
        <v>0</v>
      </c>
      <c r="E284" s="74">
        <v>0</v>
      </c>
      <c r="F284" s="74" t="s">
        <v>1121</v>
      </c>
    </row>
    <row r="285" spans="1:6" x14ac:dyDescent="0.2">
      <c r="A285" t="s">
        <v>595</v>
      </c>
      <c r="B285" s="298">
        <v>0</v>
      </c>
      <c r="C285" s="298">
        <v>0</v>
      </c>
      <c r="D285" s="298">
        <v>0</v>
      </c>
      <c r="E285" s="298">
        <v>0</v>
      </c>
      <c r="F285" s="298" t="s">
        <v>1121</v>
      </c>
    </row>
    <row r="286" spans="1:6" x14ac:dyDescent="0.2">
      <c r="A286" t="s">
        <v>596</v>
      </c>
      <c r="B286" s="77">
        <v>0</v>
      </c>
      <c r="C286" s="77">
        <v>0</v>
      </c>
      <c r="D286" s="77">
        <v>0</v>
      </c>
      <c r="E286" s="77">
        <v>0</v>
      </c>
      <c r="F286" s="77" t="s">
        <v>1121</v>
      </c>
    </row>
    <row r="287" spans="1:6" x14ac:dyDescent="0.2">
      <c r="A287" t="s">
        <v>444</v>
      </c>
      <c r="B287" s="298">
        <v>94680</v>
      </c>
      <c r="C287" s="298">
        <v>57411</v>
      </c>
      <c r="D287" s="298">
        <v>55256</v>
      </c>
      <c r="E287" s="298">
        <v>59531</v>
      </c>
      <c r="F287" s="298" t="s">
        <v>1121</v>
      </c>
    </row>
    <row r="288" spans="1:6" x14ac:dyDescent="0.2">
      <c r="A288" t="s">
        <v>597</v>
      </c>
      <c r="B288" s="298">
        <v>0</v>
      </c>
      <c r="C288" s="298">
        <v>0</v>
      </c>
      <c r="D288" s="298">
        <v>0</v>
      </c>
      <c r="E288" s="298">
        <v>0</v>
      </c>
      <c r="F288" s="298" t="s">
        <v>1121</v>
      </c>
    </row>
    <row r="289" spans="1:6" x14ac:dyDescent="0.2">
      <c r="A289" t="s">
        <v>1023</v>
      </c>
      <c r="B289" s="77">
        <v>94680</v>
      </c>
      <c r="C289" s="77">
        <v>57411</v>
      </c>
      <c r="D289" s="298">
        <v>55256</v>
      </c>
      <c r="E289" s="77">
        <v>59531</v>
      </c>
      <c r="F289" s="77" t="s">
        <v>1121</v>
      </c>
    </row>
    <row r="290" spans="1:6" x14ac:dyDescent="0.2">
      <c r="A290" t="s">
        <v>598</v>
      </c>
      <c r="B290" s="77">
        <v>44469</v>
      </c>
      <c r="C290" s="77">
        <v>44104</v>
      </c>
      <c r="D290" s="298">
        <v>43738</v>
      </c>
      <c r="E290" s="77">
        <v>43373</v>
      </c>
      <c r="F290" s="77" t="s">
        <v>1121</v>
      </c>
    </row>
    <row r="291" spans="1:6" x14ac:dyDescent="0.2">
      <c r="A291" t="s">
        <v>599</v>
      </c>
      <c r="B291" s="77">
        <v>120233</v>
      </c>
      <c r="C291" s="77">
        <v>77344</v>
      </c>
      <c r="D291" s="298">
        <v>76477</v>
      </c>
      <c r="E291" s="77">
        <v>81801</v>
      </c>
      <c r="F291" s="77" t="s">
        <v>1121</v>
      </c>
    </row>
    <row r="292" spans="1:6" x14ac:dyDescent="0.2">
      <c r="A292" t="s">
        <v>445</v>
      </c>
      <c r="B292" s="77">
        <v>11284</v>
      </c>
      <c r="C292" s="77">
        <v>11056</v>
      </c>
      <c r="D292" s="298">
        <v>12547</v>
      </c>
      <c r="E292" s="77">
        <v>10903</v>
      </c>
      <c r="F292" s="77" t="s">
        <v>1121</v>
      </c>
    </row>
    <row r="293" spans="1:6" x14ac:dyDescent="0.2">
      <c r="A293" t="s">
        <v>440</v>
      </c>
      <c r="B293" s="77">
        <v>108949</v>
      </c>
      <c r="C293" s="77">
        <v>66288</v>
      </c>
      <c r="D293" s="298">
        <v>63930</v>
      </c>
      <c r="E293" s="77">
        <v>70898</v>
      </c>
      <c r="F293" s="77" t="s">
        <v>1121</v>
      </c>
    </row>
    <row r="294" spans="1:6" x14ac:dyDescent="0.2">
      <c r="A294" t="s">
        <v>600</v>
      </c>
      <c r="B294" s="77">
        <v>44469</v>
      </c>
      <c r="C294" s="77">
        <v>44104</v>
      </c>
      <c r="D294" s="77">
        <v>43738</v>
      </c>
      <c r="E294" s="77">
        <v>43373</v>
      </c>
      <c r="F294" s="77" t="s">
        <v>1121</v>
      </c>
    </row>
    <row r="295" spans="1:6" x14ac:dyDescent="0.2">
      <c r="A295" t="s">
        <v>601</v>
      </c>
      <c r="B295" s="77">
        <v>16864.919999999998</v>
      </c>
      <c r="C295" s="77">
        <v>17528.21</v>
      </c>
      <c r="D295" s="77">
        <v>18595.650000000001</v>
      </c>
      <c r="E295" s="77">
        <v>20000.439999999999</v>
      </c>
      <c r="F295" s="77" t="s">
        <v>1121</v>
      </c>
    </row>
    <row r="296" spans="1:6" x14ac:dyDescent="0.2">
      <c r="A296" t="s">
        <v>602</v>
      </c>
      <c r="B296" s="77">
        <v>5.61</v>
      </c>
      <c r="C296" s="77">
        <v>3.28</v>
      </c>
      <c r="D296" s="77">
        <v>2.97</v>
      </c>
      <c r="E296" s="77">
        <v>2.98</v>
      </c>
      <c r="F296" s="77" t="s">
        <v>1121</v>
      </c>
    </row>
    <row r="297" spans="1:6" x14ac:dyDescent="0.2">
      <c r="A297" t="s">
        <v>1024</v>
      </c>
      <c r="B297" s="77">
        <v>5.61</v>
      </c>
      <c r="C297" s="77">
        <v>3.28</v>
      </c>
      <c r="D297" s="77">
        <v>2.97</v>
      </c>
      <c r="E297" s="77">
        <v>2.98</v>
      </c>
      <c r="F297" s="77" t="s">
        <v>1121</v>
      </c>
    </row>
    <row r="298" spans="1:6" x14ac:dyDescent="0.2">
      <c r="A298" t="s">
        <v>1120</v>
      </c>
      <c r="B298" s="77"/>
      <c r="C298" s="77"/>
      <c r="D298" s="298"/>
      <c r="E298" s="77"/>
      <c r="F298" s="77"/>
    </row>
    <row r="299" spans="1:6" x14ac:dyDescent="0.2">
      <c r="A299" t="s">
        <v>590</v>
      </c>
      <c r="B299" s="77"/>
      <c r="C299" s="77"/>
      <c r="D299" s="298"/>
      <c r="E299" s="77"/>
      <c r="F299" s="77"/>
    </row>
    <row r="300" spans="1:6" x14ac:dyDescent="0.2">
      <c r="B300" s="77">
        <v>44926</v>
      </c>
      <c r="C300" s="77">
        <v>44834</v>
      </c>
      <c r="D300" s="77">
        <v>44742</v>
      </c>
      <c r="E300" s="77">
        <v>44651</v>
      </c>
      <c r="F300" s="77">
        <v>44561</v>
      </c>
    </row>
    <row r="301" spans="1:6" x14ac:dyDescent="0.2">
      <c r="A301" t="s">
        <v>438</v>
      </c>
      <c r="B301" s="77">
        <v>117154</v>
      </c>
      <c r="C301" s="77">
        <v>90146</v>
      </c>
      <c r="D301" s="75">
        <v>82959</v>
      </c>
      <c r="E301" s="77">
        <v>97278</v>
      </c>
      <c r="F301" s="77">
        <v>123945</v>
      </c>
    </row>
    <row r="302" spans="1:6" x14ac:dyDescent="0.2">
      <c r="A302" t="s">
        <v>439</v>
      </c>
      <c r="B302" s="77">
        <v>66822</v>
      </c>
      <c r="C302" s="77">
        <v>52051</v>
      </c>
      <c r="D302" s="75">
        <v>47074</v>
      </c>
      <c r="E302" s="77">
        <v>54719</v>
      </c>
      <c r="F302" s="77">
        <v>69702</v>
      </c>
    </row>
    <row r="303" spans="1:6" x14ac:dyDescent="0.2">
      <c r="A303" s="74" t="s">
        <v>591</v>
      </c>
      <c r="B303" s="298">
        <v>50332</v>
      </c>
      <c r="C303" s="298">
        <v>38095</v>
      </c>
      <c r="D303" s="298">
        <v>35885</v>
      </c>
      <c r="E303" s="298">
        <v>42559</v>
      </c>
      <c r="F303" s="298">
        <v>54243</v>
      </c>
    </row>
    <row r="304" spans="1:6" x14ac:dyDescent="0.2">
      <c r="A304" s="187" t="s">
        <v>603</v>
      </c>
      <c r="B304" s="298">
        <v>14316</v>
      </c>
      <c r="C304" s="77">
        <v>13201</v>
      </c>
      <c r="D304" s="298">
        <v>12809</v>
      </c>
      <c r="E304" s="77">
        <v>12580</v>
      </c>
      <c r="F304" s="77">
        <v>12755</v>
      </c>
    </row>
    <row r="305" spans="1:6" x14ac:dyDescent="0.2">
      <c r="A305" t="s">
        <v>604</v>
      </c>
      <c r="B305" s="77">
        <v>36016</v>
      </c>
      <c r="C305" s="77">
        <v>24894</v>
      </c>
      <c r="D305" s="75">
        <v>23076</v>
      </c>
      <c r="E305" s="77">
        <v>29979</v>
      </c>
      <c r="F305" s="77">
        <v>41488</v>
      </c>
    </row>
    <row r="306" spans="1:6" x14ac:dyDescent="0.2">
      <c r="A306" t="s">
        <v>593</v>
      </c>
      <c r="B306" s="77">
        <v>-393</v>
      </c>
      <c r="C306" s="77">
        <v>-237</v>
      </c>
      <c r="D306" s="75">
        <v>-10</v>
      </c>
      <c r="E306" s="77">
        <v>160</v>
      </c>
      <c r="F306" s="77">
        <v>-247</v>
      </c>
    </row>
    <row r="307" spans="1:6" x14ac:dyDescent="0.2">
      <c r="A307" t="s">
        <v>441</v>
      </c>
      <c r="B307" s="298">
        <v>0</v>
      </c>
      <c r="C307" s="298">
        <v>0</v>
      </c>
      <c r="D307" s="298">
        <v>0</v>
      </c>
      <c r="E307" s="298">
        <v>0</v>
      </c>
      <c r="F307" s="298">
        <v>0</v>
      </c>
    </row>
    <row r="308" spans="1:6" x14ac:dyDescent="0.2">
      <c r="A308" t="s">
        <v>442</v>
      </c>
      <c r="B308" s="77">
        <v>35623</v>
      </c>
      <c r="C308" s="77">
        <v>24657</v>
      </c>
      <c r="D308" s="75">
        <v>23066</v>
      </c>
      <c r="E308" s="77">
        <v>30139</v>
      </c>
      <c r="F308" s="77">
        <v>41241</v>
      </c>
    </row>
    <row r="309" spans="1:6" x14ac:dyDescent="0.2">
      <c r="A309" t="s">
        <v>443</v>
      </c>
      <c r="B309" s="77">
        <v>5625</v>
      </c>
      <c r="C309" s="77">
        <v>3936</v>
      </c>
      <c r="D309" s="75">
        <v>3624</v>
      </c>
      <c r="E309" s="77">
        <v>5129</v>
      </c>
      <c r="F309" s="77">
        <v>6611</v>
      </c>
    </row>
    <row r="310" spans="1:6" x14ac:dyDescent="0.2">
      <c r="A310" t="s">
        <v>594</v>
      </c>
      <c r="B310" s="77">
        <v>0</v>
      </c>
      <c r="C310" s="77">
        <v>0</v>
      </c>
      <c r="D310" s="75">
        <v>0</v>
      </c>
      <c r="E310" s="77">
        <v>0</v>
      </c>
      <c r="F310" s="77">
        <v>0</v>
      </c>
    </row>
    <row r="311" spans="1:6" x14ac:dyDescent="0.2">
      <c r="A311" t="s">
        <v>595</v>
      </c>
      <c r="B311" s="77">
        <v>0</v>
      </c>
      <c r="C311" s="77">
        <v>0</v>
      </c>
      <c r="D311" s="298">
        <v>0</v>
      </c>
      <c r="E311" s="77">
        <v>0</v>
      </c>
      <c r="F311" s="77">
        <v>0</v>
      </c>
    </row>
    <row r="312" spans="1:6" x14ac:dyDescent="0.2">
      <c r="A312" t="s">
        <v>596</v>
      </c>
      <c r="B312" s="298">
        <v>0</v>
      </c>
      <c r="C312" s="298">
        <v>0</v>
      </c>
      <c r="D312" s="298">
        <v>0</v>
      </c>
      <c r="E312" s="298">
        <v>0</v>
      </c>
      <c r="F312" s="298">
        <v>0</v>
      </c>
    </row>
    <row r="313" spans="1:6" x14ac:dyDescent="0.2">
      <c r="A313" t="s">
        <v>444</v>
      </c>
      <c r="B313" s="77">
        <v>29998</v>
      </c>
      <c r="C313" s="77">
        <v>20721</v>
      </c>
      <c r="D313" s="298">
        <v>19442</v>
      </c>
      <c r="E313" s="77">
        <v>25010</v>
      </c>
      <c r="F313" s="77">
        <v>34630</v>
      </c>
    </row>
    <row r="314" spans="1:6" x14ac:dyDescent="0.2">
      <c r="A314" s="74" t="s">
        <v>597</v>
      </c>
      <c r="B314" s="298">
        <v>0</v>
      </c>
      <c r="C314" s="298">
        <v>0</v>
      </c>
      <c r="D314" s="298">
        <v>0</v>
      </c>
      <c r="E314" s="298">
        <v>0</v>
      </c>
      <c r="F314" s="298">
        <v>0</v>
      </c>
    </row>
    <row r="315" spans="1:6" x14ac:dyDescent="0.2">
      <c r="A315" t="s">
        <v>1023</v>
      </c>
      <c r="B315" s="77">
        <v>29998</v>
      </c>
      <c r="C315" s="77">
        <v>20721</v>
      </c>
      <c r="D315" s="298">
        <v>19442</v>
      </c>
      <c r="E315" s="77">
        <v>25010</v>
      </c>
      <c r="F315" s="77">
        <v>34630</v>
      </c>
    </row>
    <row r="316" spans="1:6" x14ac:dyDescent="0.2">
      <c r="A316" t="s">
        <v>600</v>
      </c>
      <c r="B316" s="298">
        <v>44926</v>
      </c>
      <c r="C316" s="298">
        <v>44834</v>
      </c>
      <c r="D316" s="298">
        <v>44742</v>
      </c>
      <c r="E316" s="298">
        <v>44651</v>
      </c>
      <c r="F316" s="298">
        <v>44561</v>
      </c>
    </row>
    <row r="317" spans="1:6" x14ac:dyDescent="0.2">
      <c r="A317" s="74" t="s">
        <v>601</v>
      </c>
      <c r="B317" s="77">
        <v>15955.72</v>
      </c>
      <c r="C317" s="77">
        <v>16118.46</v>
      </c>
      <c r="D317" s="75">
        <v>16262.2</v>
      </c>
      <c r="E317" s="77">
        <v>16403.32</v>
      </c>
      <c r="F317" s="77">
        <v>16519.29</v>
      </c>
    </row>
    <row r="318" spans="1:6" x14ac:dyDescent="0.2">
      <c r="A318" s="74" t="s">
        <v>602</v>
      </c>
      <c r="B318">
        <v>1.88</v>
      </c>
      <c r="C318">
        <v>1.29</v>
      </c>
      <c r="D318" s="75">
        <v>1.2</v>
      </c>
      <c r="E318">
        <v>1.52</v>
      </c>
      <c r="F318">
        <v>2.1</v>
      </c>
    </row>
    <row r="319" spans="1:6" x14ac:dyDescent="0.2">
      <c r="A319" s="74" t="s">
        <v>1024</v>
      </c>
      <c r="B319">
        <v>1.88</v>
      </c>
      <c r="C319">
        <v>1.29</v>
      </c>
      <c r="D319" s="75">
        <v>1.2</v>
      </c>
      <c r="E319">
        <v>1.52</v>
      </c>
      <c r="F319">
        <v>2.1</v>
      </c>
    </row>
    <row r="320" spans="1:6" x14ac:dyDescent="0.2">
      <c r="A320" s="74" t="s">
        <v>447</v>
      </c>
      <c r="D320" s="75"/>
    </row>
    <row r="321" spans="1:4" x14ac:dyDescent="0.2">
      <c r="A321" t="s">
        <v>542</v>
      </c>
    </row>
    <row r="322" spans="1:4" x14ac:dyDescent="0.2">
      <c r="A322" t="s">
        <v>366</v>
      </c>
      <c r="C322" s="75"/>
      <c r="D322" s="75"/>
    </row>
    <row r="323" spans="1:4" x14ac:dyDescent="0.2">
      <c r="A323" t="s">
        <v>448</v>
      </c>
      <c r="C323" s="75"/>
      <c r="D323" s="75"/>
    </row>
    <row r="324" spans="1:4" x14ac:dyDescent="0.2">
      <c r="A324" t="s">
        <v>449</v>
      </c>
      <c r="C324" s="75"/>
      <c r="D324" s="75"/>
    </row>
    <row r="325" spans="1:4" x14ac:dyDescent="0.2">
      <c r="A325" t="s">
        <v>338</v>
      </c>
      <c r="C325" s="75"/>
      <c r="D325" s="75"/>
    </row>
    <row r="326" spans="1:4" x14ac:dyDescent="0.2">
      <c r="A326" t="s">
        <v>450</v>
      </c>
      <c r="C326" s="75"/>
      <c r="D326" s="75"/>
    </row>
    <row r="327" spans="1:4" x14ac:dyDescent="0.2">
      <c r="A327" t="s">
        <v>355</v>
      </c>
      <c r="C327" s="75"/>
    </row>
    <row r="328" spans="1:4" x14ac:dyDescent="0.2">
      <c r="A328" t="s">
        <v>451</v>
      </c>
      <c r="C328" s="75"/>
      <c r="D328" s="75"/>
    </row>
    <row r="329" spans="1:4" x14ac:dyDescent="0.2">
      <c r="A329" t="s">
        <v>363</v>
      </c>
      <c r="C329" s="75"/>
      <c r="D329" s="75"/>
    </row>
    <row r="330" spans="1:4" x14ac:dyDescent="0.2">
      <c r="A330" t="s">
        <v>543</v>
      </c>
      <c r="C330" s="75"/>
      <c r="D330" s="75"/>
    </row>
    <row r="331" spans="1:4" x14ac:dyDescent="0.2">
      <c r="A331" t="s">
        <v>452</v>
      </c>
      <c r="C331" s="75"/>
      <c r="D331" s="75"/>
    </row>
    <row r="332" spans="1:4" x14ac:dyDescent="0.2">
      <c r="A332" t="s">
        <v>453</v>
      </c>
      <c r="C332" s="75"/>
      <c r="D332" s="75"/>
    </row>
    <row r="333" spans="1:4" x14ac:dyDescent="0.2">
      <c r="A333" t="s">
        <v>454</v>
      </c>
      <c r="C333" s="75"/>
    </row>
    <row r="334" spans="1:4" x14ac:dyDescent="0.2">
      <c r="A334" t="s">
        <v>455</v>
      </c>
    </row>
    <row r="335" spans="1:4" x14ac:dyDescent="0.2">
      <c r="A335" t="s">
        <v>1096</v>
      </c>
      <c r="C335" s="75"/>
    </row>
    <row r="336" spans="1:4" x14ac:dyDescent="0.2">
      <c r="A336" t="s">
        <v>456</v>
      </c>
      <c r="C336" s="75"/>
    </row>
    <row r="337" spans="1:3" x14ac:dyDescent="0.2">
      <c r="A337" t="s">
        <v>1097</v>
      </c>
    </row>
    <row r="338" spans="1:3" x14ac:dyDescent="0.2">
      <c r="A338" t="s">
        <v>457</v>
      </c>
      <c r="C338" s="75"/>
    </row>
    <row r="339" spans="1:3" x14ac:dyDescent="0.2">
      <c r="A339" t="s">
        <v>458</v>
      </c>
      <c r="C339" s="75"/>
    </row>
    <row r="340" spans="1:3" x14ac:dyDescent="0.2">
      <c r="A340" t="s">
        <v>459</v>
      </c>
    </row>
    <row r="341" spans="1:3" x14ac:dyDescent="0.2">
      <c r="A341" t="s">
        <v>387</v>
      </c>
      <c r="C341" s="75"/>
    </row>
    <row r="342" spans="1:3" x14ac:dyDescent="0.2">
      <c r="A342" t="s">
        <v>460</v>
      </c>
      <c r="C342" s="75"/>
    </row>
    <row r="343" spans="1:3" x14ac:dyDescent="0.2">
      <c r="A343" t="s">
        <v>311</v>
      </c>
      <c r="C343" s="75"/>
    </row>
    <row r="344" spans="1:3" x14ac:dyDescent="0.2">
      <c r="A344" t="s">
        <v>640</v>
      </c>
      <c r="C344" s="75"/>
    </row>
    <row r="345" spans="1:3" x14ac:dyDescent="0.2">
      <c r="A345" t="s">
        <v>569</v>
      </c>
      <c r="C345" s="75"/>
    </row>
    <row r="346" spans="1:3" x14ac:dyDescent="0.2">
      <c r="A346" t="s">
        <v>827</v>
      </c>
      <c r="C346" s="75"/>
    </row>
    <row r="347" spans="1:3" x14ac:dyDescent="0.2">
      <c r="A347" t="s">
        <v>674</v>
      </c>
      <c r="C347" s="75"/>
    </row>
    <row r="348" spans="1:3" x14ac:dyDescent="0.2">
      <c r="A348" t="s">
        <v>461</v>
      </c>
      <c r="C348" s="75"/>
    </row>
    <row r="349" spans="1:3" x14ac:dyDescent="0.2">
      <c r="A349" t="s">
        <v>325</v>
      </c>
      <c r="C349" s="75"/>
    </row>
    <row r="350" spans="1:3" x14ac:dyDescent="0.2">
      <c r="A350" t="s">
        <v>348</v>
      </c>
      <c r="C350" s="75"/>
    </row>
    <row r="351" spans="1:3" x14ac:dyDescent="0.2">
      <c r="A351" t="s">
        <v>462</v>
      </c>
    </row>
    <row r="352" spans="1:3" x14ac:dyDescent="0.2">
      <c r="A352" t="s">
        <v>244</v>
      </c>
    </row>
    <row r="353" spans="1:1" x14ac:dyDescent="0.2">
      <c r="A353" t="s">
        <v>463</v>
      </c>
    </row>
    <row r="354" spans="1:1" x14ac:dyDescent="0.2">
      <c r="A354" t="s">
        <v>464</v>
      </c>
    </row>
    <row r="355" spans="1:1" x14ac:dyDescent="0.2">
      <c r="A355" t="s">
        <v>312</v>
      </c>
    </row>
    <row r="356" spans="1:1" x14ac:dyDescent="0.2">
      <c r="A356" t="s">
        <v>322</v>
      </c>
    </row>
    <row r="357" spans="1:1" x14ac:dyDescent="0.2">
      <c r="A357" t="s">
        <v>823</v>
      </c>
    </row>
    <row r="358" spans="1:1" x14ac:dyDescent="0.2">
      <c r="A358" t="s">
        <v>334</v>
      </c>
    </row>
    <row r="359" spans="1:1" x14ac:dyDescent="0.2">
      <c r="A359" t="s">
        <v>323</v>
      </c>
    </row>
    <row r="360" spans="1:1" x14ac:dyDescent="0.2">
      <c r="A360" t="s">
        <v>324</v>
      </c>
    </row>
    <row r="361" spans="1:1" x14ac:dyDescent="0.2">
      <c r="A361" t="s">
        <v>465</v>
      </c>
    </row>
    <row r="362" spans="1:1" x14ac:dyDescent="0.2">
      <c r="A362" t="s">
        <v>466</v>
      </c>
    </row>
    <row r="363" spans="1:1" x14ac:dyDescent="0.2">
      <c r="A363" t="s">
        <v>571</v>
      </c>
    </row>
    <row r="364" spans="1:1" x14ac:dyDescent="0.2">
      <c r="A364" t="s">
        <v>658</v>
      </c>
    </row>
    <row r="365" spans="1:1" x14ac:dyDescent="0.2">
      <c r="A365" t="s">
        <v>659</v>
      </c>
    </row>
    <row r="366" spans="1:1" x14ac:dyDescent="0.2">
      <c r="A366" t="s">
        <v>467</v>
      </c>
    </row>
    <row r="368" spans="1:1" x14ac:dyDescent="0.2">
      <c r="A368" t="s">
        <v>468</v>
      </c>
    </row>
    <row r="369" spans="1:11" x14ac:dyDescent="0.2">
      <c r="A369" t="s">
        <v>469</v>
      </c>
    </row>
    <row r="370" spans="1:11" x14ac:dyDescent="0.2">
      <c r="A370" t="s">
        <v>470</v>
      </c>
    </row>
    <row r="371" spans="1:11" x14ac:dyDescent="0.2">
      <c r="A371" t="s">
        <v>471</v>
      </c>
      <c r="B371" s="298"/>
      <c r="C371" s="298"/>
      <c r="D371" s="298"/>
      <c r="E371" s="298"/>
      <c r="F371" s="298"/>
      <c r="I371" s="187"/>
      <c r="J371" s="187"/>
      <c r="K371" s="187"/>
    </row>
    <row r="372" spans="1:11" x14ac:dyDescent="0.2">
      <c r="A372" t="s">
        <v>472</v>
      </c>
      <c r="B372" s="74"/>
      <c r="C372" s="74"/>
      <c r="D372" s="74"/>
      <c r="E372" s="74"/>
      <c r="F372" s="74"/>
      <c r="I372" s="187"/>
      <c r="J372" s="74"/>
      <c r="K372" s="74"/>
    </row>
    <row r="373" spans="1:11" x14ac:dyDescent="0.2">
      <c r="A373" t="s">
        <v>473</v>
      </c>
      <c r="B373" s="74"/>
      <c r="C373" s="74"/>
      <c r="D373" s="74"/>
      <c r="E373" s="74"/>
      <c r="F373" s="74"/>
      <c r="I373" s="74"/>
      <c r="J373" s="74"/>
      <c r="K373" s="74"/>
    </row>
    <row r="374" spans="1:11" x14ac:dyDescent="0.2">
      <c r="B374" s="74"/>
      <c r="C374" s="74"/>
      <c r="D374" s="74"/>
      <c r="E374" s="74"/>
      <c r="F374" s="74"/>
    </row>
    <row r="375" spans="1:11" x14ac:dyDescent="0.2">
      <c r="A375" t="s">
        <v>857</v>
      </c>
      <c r="B375" s="74"/>
      <c r="C375" s="74"/>
      <c r="D375" s="74"/>
      <c r="E375" s="74"/>
      <c r="F375" s="74"/>
    </row>
    <row r="376" spans="1:11" x14ac:dyDescent="0.2">
      <c r="A376" t="s">
        <v>544</v>
      </c>
      <c r="B376" s="74"/>
      <c r="C376" s="74"/>
      <c r="D376" s="74"/>
      <c r="E376" s="74"/>
      <c r="F376" s="74"/>
    </row>
    <row r="377" spans="1:11" x14ac:dyDescent="0.2">
      <c r="A377" t="s">
        <v>858</v>
      </c>
      <c r="B377" s="74"/>
      <c r="C377" s="74"/>
      <c r="D377" s="74"/>
      <c r="E377" s="74"/>
      <c r="F377" s="74"/>
    </row>
    <row r="378" spans="1:11" x14ac:dyDescent="0.2">
      <c r="A378" t="s">
        <v>1098</v>
      </c>
      <c r="B378" s="74"/>
      <c r="C378" s="74"/>
      <c r="D378" s="74"/>
      <c r="E378" s="74"/>
      <c r="F378" s="74"/>
    </row>
    <row r="379" spans="1:11" x14ac:dyDescent="0.2">
      <c r="A379" t="s">
        <v>1104</v>
      </c>
      <c r="B379" s="74"/>
      <c r="C379" s="74"/>
      <c r="D379" s="74"/>
      <c r="E379" s="74"/>
      <c r="F379" s="74"/>
    </row>
    <row r="380" spans="1:11" x14ac:dyDescent="0.2">
      <c r="A380" t="s">
        <v>828</v>
      </c>
      <c r="B380" s="74"/>
      <c r="C380" s="74"/>
      <c r="D380" s="74"/>
      <c r="E380" s="74"/>
      <c r="F380" s="74"/>
    </row>
    <row r="381" spans="1:11" x14ac:dyDescent="0.2">
      <c r="A381" t="s">
        <v>474</v>
      </c>
      <c r="B381" s="74"/>
      <c r="C381" s="74"/>
      <c r="D381" s="74"/>
      <c r="E381" s="74"/>
      <c r="F381" s="74"/>
    </row>
    <row r="382" spans="1:11" x14ac:dyDescent="0.2">
      <c r="A382" t="s">
        <v>1105</v>
      </c>
      <c r="B382" s="74"/>
      <c r="C382" s="74"/>
      <c r="D382" s="74"/>
      <c r="E382" s="74"/>
      <c r="F382" s="74"/>
    </row>
    <row r="383" spans="1:11" x14ac:dyDescent="0.2">
      <c r="A383" t="s">
        <v>475</v>
      </c>
      <c r="B383" s="74"/>
      <c r="C383" s="74"/>
      <c r="D383" s="74"/>
      <c r="E383" s="74"/>
      <c r="F383" s="74"/>
    </row>
    <row r="384" spans="1:11" x14ac:dyDescent="0.2">
      <c r="A384" t="s">
        <v>660</v>
      </c>
      <c r="B384" s="74"/>
      <c r="C384" s="74"/>
      <c r="D384" s="74"/>
      <c r="E384" s="74"/>
      <c r="F384" s="74"/>
    </row>
    <row r="385" spans="1:6" x14ac:dyDescent="0.2">
      <c r="A385" t="s">
        <v>641</v>
      </c>
      <c r="B385" s="74"/>
      <c r="C385" s="74"/>
      <c r="D385" s="74"/>
      <c r="E385" s="74"/>
      <c r="F385" s="74"/>
    </row>
    <row r="386" spans="1:6" x14ac:dyDescent="0.2">
      <c r="A386" t="s">
        <v>642</v>
      </c>
      <c r="B386" s="74"/>
      <c r="C386" s="74"/>
      <c r="D386" s="74"/>
      <c r="E386" s="74"/>
      <c r="F386" s="74"/>
    </row>
    <row r="387" spans="1:6" x14ac:dyDescent="0.2">
      <c r="A387" t="s">
        <v>643</v>
      </c>
      <c r="B387" s="74"/>
      <c r="C387" s="74"/>
      <c r="D387" s="74"/>
      <c r="E387" s="74"/>
      <c r="F387" s="7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497"/>
  <sheetViews>
    <sheetView workbookViewId="0">
      <selection activeCell="A16" sqref="A16"/>
    </sheetView>
  </sheetViews>
  <sheetFormatPr defaultRowHeight="12" x14ac:dyDescent="0.2"/>
  <cols>
    <col min="1" max="1" width="40.77734375" bestFit="1" customWidth="1"/>
    <col min="2" max="3" width="10" bestFit="1" customWidth="1"/>
    <col min="4" max="4" width="9" bestFit="1" customWidth="1"/>
    <col min="5" max="5" width="8.88671875" bestFit="1" customWidth="1"/>
  </cols>
  <sheetData>
    <row r="1" spans="1:5" x14ac:dyDescent="0.2">
      <c r="B1" s="293" t="s">
        <v>271</v>
      </c>
      <c r="C1" s="75"/>
      <c r="E1" s="75"/>
    </row>
    <row r="2" spans="1:5" x14ac:dyDescent="0.2">
      <c r="A2" t="s">
        <v>1027</v>
      </c>
      <c r="B2" s="75"/>
      <c r="C2" s="75"/>
      <c r="E2" s="75"/>
    </row>
    <row r="3" spans="1:5" x14ac:dyDescent="0.2">
      <c r="A3" t="s">
        <v>572</v>
      </c>
    </row>
    <row r="4" spans="1:5" x14ac:dyDescent="0.2">
      <c r="A4" t="s">
        <v>329</v>
      </c>
    </row>
    <row r="5" spans="1:5" x14ac:dyDescent="0.2">
      <c r="A5" t="s">
        <v>330</v>
      </c>
    </row>
    <row r="6" spans="1:5" x14ac:dyDescent="0.2">
      <c r="A6" t="s">
        <v>627</v>
      </c>
    </row>
    <row r="7" spans="1:5" x14ac:dyDescent="0.2">
      <c r="A7" t="s">
        <v>331</v>
      </c>
    </row>
    <row r="8" spans="1:5" x14ac:dyDescent="0.2">
      <c r="A8" t="s">
        <v>332</v>
      </c>
    </row>
    <row r="9" spans="1:5" x14ac:dyDescent="0.2">
      <c r="A9" t="s">
        <v>628</v>
      </c>
    </row>
    <row r="10" spans="1:5" x14ac:dyDescent="0.2">
      <c r="A10" t="s">
        <v>967</v>
      </c>
    </row>
    <row r="11" spans="1:5" x14ac:dyDescent="0.2">
      <c r="A11" t="s">
        <v>356</v>
      </c>
    </row>
    <row r="12" spans="1:5" x14ac:dyDescent="0.2">
      <c r="A12" t="s">
        <v>573</v>
      </c>
    </row>
    <row r="13" spans="1:5" x14ac:dyDescent="0.2">
      <c r="A13" t="s">
        <v>649</v>
      </c>
    </row>
    <row r="14" spans="1:5" x14ac:dyDescent="0.2">
      <c r="A14" t="s">
        <v>574</v>
      </c>
    </row>
    <row r="15" spans="1:5" x14ac:dyDescent="0.2">
      <c r="A15" t="s">
        <v>329</v>
      </c>
    </row>
    <row r="16" spans="1:5" x14ac:dyDescent="0.2">
      <c r="A16" s="187" t="s">
        <v>575</v>
      </c>
    </row>
    <row r="17" spans="1:1" x14ac:dyDescent="0.2">
      <c r="A17" t="s">
        <v>968</v>
      </c>
    </row>
    <row r="18" spans="1:1" x14ac:dyDescent="0.2">
      <c r="A18" t="s">
        <v>833</v>
      </c>
    </row>
    <row r="19" spans="1:1" x14ac:dyDescent="0.2">
      <c r="A19" t="s">
        <v>675</v>
      </c>
    </row>
    <row r="20" spans="1:1" x14ac:dyDescent="0.2">
      <c r="A20" t="s">
        <v>676</v>
      </c>
    </row>
    <row r="21" spans="1:1" x14ac:dyDescent="0.2">
      <c r="A21" t="s">
        <v>834</v>
      </c>
    </row>
    <row r="22" spans="1:1" x14ac:dyDescent="0.2">
      <c r="A22" t="s">
        <v>1028</v>
      </c>
    </row>
    <row r="23" spans="1:1" x14ac:dyDescent="0.2">
      <c r="A23" t="s">
        <v>959</v>
      </c>
    </row>
    <row r="24" spans="1:1" x14ac:dyDescent="0.2">
      <c r="A24" t="s">
        <v>960</v>
      </c>
    </row>
    <row r="25" spans="1:1" x14ac:dyDescent="0.2">
      <c r="A25" t="s">
        <v>961</v>
      </c>
    </row>
    <row r="26" spans="1:1" x14ac:dyDescent="0.2">
      <c r="A26" t="s">
        <v>962</v>
      </c>
    </row>
    <row r="27" spans="1:1" x14ac:dyDescent="0.2">
      <c r="A27" t="s">
        <v>677</v>
      </c>
    </row>
    <row r="28" spans="1:1" x14ac:dyDescent="0.2">
      <c r="A28" t="s">
        <v>953</v>
      </c>
    </row>
    <row r="29" spans="1:1" x14ac:dyDescent="0.2">
      <c r="A29" t="s">
        <v>678</v>
      </c>
    </row>
    <row r="30" spans="1:1" x14ac:dyDescent="0.2">
      <c r="A30" t="s">
        <v>679</v>
      </c>
    </row>
    <row r="31" spans="1:1" x14ac:dyDescent="0.2">
      <c r="A31" t="s">
        <v>680</v>
      </c>
    </row>
    <row r="32" spans="1:1" x14ac:dyDescent="0.2">
      <c r="A32" t="s">
        <v>836</v>
      </c>
    </row>
    <row r="33" spans="1:1" x14ac:dyDescent="0.2">
      <c r="A33" t="s">
        <v>963</v>
      </c>
    </row>
    <row r="34" spans="1:1" x14ac:dyDescent="0.2">
      <c r="A34" t="s">
        <v>835</v>
      </c>
    </row>
    <row r="35" spans="1:1" x14ac:dyDescent="0.2">
      <c r="A35" t="s">
        <v>837</v>
      </c>
    </row>
    <row r="36" spans="1:1" x14ac:dyDescent="0.2">
      <c r="A36" t="s">
        <v>838</v>
      </c>
    </row>
    <row r="37" spans="1:1" x14ac:dyDescent="0.2">
      <c r="A37" t="s">
        <v>839</v>
      </c>
    </row>
    <row r="38" spans="1:1" x14ac:dyDescent="0.2">
      <c r="A38" t="s">
        <v>840</v>
      </c>
    </row>
    <row r="39" spans="1:1" x14ac:dyDescent="0.2">
      <c r="A39" t="s">
        <v>1029</v>
      </c>
    </row>
    <row r="40" spans="1:1" x14ac:dyDescent="0.2">
      <c r="A40" t="s">
        <v>841</v>
      </c>
    </row>
    <row r="41" spans="1:1" x14ac:dyDescent="0.2">
      <c r="A41" t="s">
        <v>1030</v>
      </c>
    </row>
    <row r="42" spans="1:1" x14ac:dyDescent="0.2">
      <c r="A42" t="s">
        <v>964</v>
      </c>
    </row>
    <row r="43" spans="1:1" x14ac:dyDescent="0.2">
      <c r="A43" t="s">
        <v>779</v>
      </c>
    </row>
    <row r="44" spans="1:1" x14ac:dyDescent="0.2">
      <c r="A44" t="s">
        <v>965</v>
      </c>
    </row>
    <row r="45" spans="1:1" x14ac:dyDescent="0.2">
      <c r="A45" t="s">
        <v>969</v>
      </c>
    </row>
    <row r="46" spans="1:1" x14ac:dyDescent="0.2">
      <c r="A46" t="s">
        <v>970</v>
      </c>
    </row>
    <row r="47" spans="1:1" x14ac:dyDescent="0.2">
      <c r="A47" t="s">
        <v>842</v>
      </c>
    </row>
    <row r="48" spans="1:1" x14ac:dyDescent="0.2">
      <c r="A48" t="s">
        <v>843</v>
      </c>
    </row>
    <row r="49" spans="1:4" x14ac:dyDescent="0.2">
      <c r="A49" t="s">
        <v>844</v>
      </c>
    </row>
    <row r="50" spans="1:4" x14ac:dyDescent="0.2">
      <c r="A50" t="s">
        <v>846</v>
      </c>
    </row>
    <row r="51" spans="1:4" x14ac:dyDescent="0.2">
      <c r="A51" t="s">
        <v>847</v>
      </c>
    </row>
    <row r="52" spans="1:4" x14ac:dyDescent="0.2">
      <c r="A52" t="s">
        <v>845</v>
      </c>
    </row>
    <row r="53" spans="1:4" x14ac:dyDescent="0.2">
      <c r="A53" t="s">
        <v>1031</v>
      </c>
    </row>
    <row r="54" spans="1:4" x14ac:dyDescent="0.2">
      <c r="A54" t="s">
        <v>1032</v>
      </c>
    </row>
    <row r="55" spans="1:4" x14ac:dyDescent="0.2">
      <c r="A55" t="s">
        <v>1033</v>
      </c>
    </row>
    <row r="56" spans="1:4" x14ac:dyDescent="0.2">
      <c r="A56" t="s">
        <v>574</v>
      </c>
    </row>
    <row r="57" spans="1:4" x14ac:dyDescent="0.2">
      <c r="A57" t="s">
        <v>330</v>
      </c>
    </row>
    <row r="58" spans="1:4" x14ac:dyDescent="0.2">
      <c r="A58" t="s">
        <v>576</v>
      </c>
    </row>
    <row r="59" spans="1:4" x14ac:dyDescent="0.2">
      <c r="A59" t="s">
        <v>971</v>
      </c>
    </row>
    <row r="60" spans="1:4" x14ac:dyDescent="0.2">
      <c r="A60" t="s">
        <v>972</v>
      </c>
    </row>
    <row r="61" spans="1:4" x14ac:dyDescent="0.2">
      <c r="A61" t="s">
        <v>681</v>
      </c>
      <c r="B61" s="75"/>
      <c r="D61" s="75"/>
    </row>
    <row r="62" spans="1:4" x14ac:dyDescent="0.2">
      <c r="A62" t="s">
        <v>951</v>
      </c>
      <c r="B62" s="75"/>
      <c r="D62" s="75"/>
    </row>
    <row r="63" spans="1:4" x14ac:dyDescent="0.2">
      <c r="A63" t="s">
        <v>682</v>
      </c>
      <c r="B63" s="75"/>
      <c r="D63" s="75"/>
    </row>
    <row r="64" spans="1:4" x14ac:dyDescent="0.2">
      <c r="A64" t="s">
        <v>683</v>
      </c>
    </row>
    <row r="65" spans="1:1" x14ac:dyDescent="0.2">
      <c r="A65" t="s">
        <v>684</v>
      </c>
    </row>
    <row r="66" spans="1:1" x14ac:dyDescent="0.2">
      <c r="A66" t="s">
        <v>685</v>
      </c>
    </row>
    <row r="67" spans="1:1" x14ac:dyDescent="0.2">
      <c r="A67" t="s">
        <v>686</v>
      </c>
    </row>
    <row r="68" spans="1:1" x14ac:dyDescent="0.2">
      <c r="A68" t="s">
        <v>630</v>
      </c>
    </row>
    <row r="69" spans="1:1" x14ac:dyDescent="0.2">
      <c r="A69" t="s">
        <v>687</v>
      </c>
    </row>
    <row r="70" spans="1:1" x14ac:dyDescent="0.2">
      <c r="A70" t="s">
        <v>688</v>
      </c>
    </row>
    <row r="71" spans="1:1" x14ac:dyDescent="0.2">
      <c r="A71" t="s">
        <v>689</v>
      </c>
    </row>
    <row r="72" spans="1:1" x14ac:dyDescent="0.2">
      <c r="A72" t="s">
        <v>690</v>
      </c>
    </row>
    <row r="73" spans="1:1" x14ac:dyDescent="0.2">
      <c r="A73" t="s">
        <v>631</v>
      </c>
    </row>
    <row r="74" spans="1:1" x14ac:dyDescent="0.2">
      <c r="A74" t="s">
        <v>691</v>
      </c>
    </row>
    <row r="75" spans="1:1" x14ac:dyDescent="0.2">
      <c r="A75" t="s">
        <v>692</v>
      </c>
    </row>
    <row r="76" spans="1:1" x14ac:dyDescent="0.2">
      <c r="A76" t="s">
        <v>693</v>
      </c>
    </row>
    <row r="77" spans="1:1" x14ac:dyDescent="0.2">
      <c r="A77" t="s">
        <v>694</v>
      </c>
    </row>
    <row r="78" spans="1:1" x14ac:dyDescent="0.2">
      <c r="A78" t="s">
        <v>695</v>
      </c>
    </row>
    <row r="79" spans="1:1" x14ac:dyDescent="0.2">
      <c r="A79" t="s">
        <v>696</v>
      </c>
    </row>
    <row r="80" spans="1:1" x14ac:dyDescent="0.2">
      <c r="A80" t="s">
        <v>697</v>
      </c>
    </row>
    <row r="81" spans="1:1" x14ac:dyDescent="0.2">
      <c r="A81" t="s">
        <v>1034</v>
      </c>
    </row>
    <row r="82" spans="1:1" x14ac:dyDescent="0.2">
      <c r="A82" t="s">
        <v>632</v>
      </c>
    </row>
    <row r="83" spans="1:1" x14ac:dyDescent="0.2">
      <c r="A83" t="s">
        <v>698</v>
      </c>
    </row>
    <row r="84" spans="1:1" x14ac:dyDescent="0.2">
      <c r="A84" t="s">
        <v>699</v>
      </c>
    </row>
    <row r="85" spans="1:1" x14ac:dyDescent="0.2">
      <c r="A85" t="s">
        <v>700</v>
      </c>
    </row>
    <row r="86" spans="1:1" x14ac:dyDescent="0.2">
      <c r="A86" t="s">
        <v>701</v>
      </c>
    </row>
    <row r="87" spans="1:1" x14ac:dyDescent="0.2">
      <c r="A87" t="s">
        <v>702</v>
      </c>
    </row>
    <row r="88" spans="1:1" x14ac:dyDescent="0.2">
      <c r="A88" t="s">
        <v>703</v>
      </c>
    </row>
    <row r="89" spans="1:1" x14ac:dyDescent="0.2">
      <c r="A89" t="s">
        <v>704</v>
      </c>
    </row>
    <row r="90" spans="1:1" x14ac:dyDescent="0.2">
      <c r="A90" t="s">
        <v>1031</v>
      </c>
    </row>
    <row r="91" spans="1:1" x14ac:dyDescent="0.2">
      <c r="A91" t="s">
        <v>1032</v>
      </c>
    </row>
    <row r="92" spans="1:1" x14ac:dyDescent="0.2">
      <c r="A92" t="s">
        <v>1033</v>
      </c>
    </row>
    <row r="93" spans="1:1" x14ac:dyDescent="0.2">
      <c r="A93" t="s">
        <v>574</v>
      </c>
    </row>
    <row r="94" spans="1:1" x14ac:dyDescent="0.2">
      <c r="A94" t="s">
        <v>627</v>
      </c>
    </row>
    <row r="95" spans="1:1" x14ac:dyDescent="0.2">
      <c r="A95" t="s">
        <v>633</v>
      </c>
    </row>
    <row r="96" spans="1:1" x14ac:dyDescent="0.2">
      <c r="A96" t="s">
        <v>634</v>
      </c>
    </row>
    <row r="97" spans="1:1" x14ac:dyDescent="0.2">
      <c r="A97" t="s">
        <v>1035</v>
      </c>
    </row>
    <row r="98" spans="1:1" x14ac:dyDescent="0.2">
      <c r="A98" t="s">
        <v>708</v>
      </c>
    </row>
    <row r="99" spans="1:1" x14ac:dyDescent="0.2">
      <c r="A99" t="s">
        <v>710</v>
      </c>
    </row>
    <row r="100" spans="1:1" x14ac:dyDescent="0.2">
      <c r="A100" t="s">
        <v>711</v>
      </c>
    </row>
    <row r="101" spans="1:1" x14ac:dyDescent="0.2">
      <c r="A101" t="s">
        <v>705</v>
      </c>
    </row>
    <row r="102" spans="1:1" x14ac:dyDescent="0.2">
      <c r="A102" t="s">
        <v>706</v>
      </c>
    </row>
    <row r="103" spans="1:1" x14ac:dyDescent="0.2">
      <c r="A103" t="s">
        <v>805</v>
      </c>
    </row>
    <row r="104" spans="1:1" x14ac:dyDescent="0.2">
      <c r="A104" t="s">
        <v>712</v>
      </c>
    </row>
    <row r="105" spans="1:1" x14ac:dyDescent="0.2">
      <c r="A105" t="s">
        <v>709</v>
      </c>
    </row>
    <row r="106" spans="1:1" x14ac:dyDescent="0.2">
      <c r="A106" t="s">
        <v>707</v>
      </c>
    </row>
    <row r="107" spans="1:1" x14ac:dyDescent="0.2">
      <c r="A107" t="s">
        <v>848</v>
      </c>
    </row>
    <row r="108" spans="1:1" x14ac:dyDescent="0.2">
      <c r="A108" t="s">
        <v>635</v>
      </c>
    </row>
    <row r="109" spans="1:1" x14ac:dyDescent="0.2">
      <c r="A109" t="s">
        <v>713</v>
      </c>
    </row>
    <row r="110" spans="1:1" x14ac:dyDescent="0.2">
      <c r="A110" t="s">
        <v>714</v>
      </c>
    </row>
    <row r="111" spans="1:1" x14ac:dyDescent="0.2">
      <c r="A111" t="s">
        <v>715</v>
      </c>
    </row>
    <row r="112" spans="1:1" x14ac:dyDescent="0.2">
      <c r="A112" t="s">
        <v>716</v>
      </c>
    </row>
    <row r="113" spans="1:1" x14ac:dyDescent="0.2">
      <c r="A113" t="s">
        <v>717</v>
      </c>
    </row>
    <row r="114" spans="1:1" x14ac:dyDescent="0.2">
      <c r="A114" t="s">
        <v>718</v>
      </c>
    </row>
    <row r="115" spans="1:1" x14ac:dyDescent="0.2">
      <c r="A115" t="s">
        <v>636</v>
      </c>
    </row>
    <row r="116" spans="1:1" x14ac:dyDescent="0.2">
      <c r="A116" t="s">
        <v>719</v>
      </c>
    </row>
    <row r="117" spans="1:1" x14ac:dyDescent="0.2">
      <c r="A117" t="s">
        <v>720</v>
      </c>
    </row>
    <row r="118" spans="1:1" x14ac:dyDescent="0.2">
      <c r="A118" t="s">
        <v>721</v>
      </c>
    </row>
    <row r="119" spans="1:1" x14ac:dyDescent="0.2">
      <c r="A119" t="s">
        <v>722</v>
      </c>
    </row>
    <row r="120" spans="1:1" x14ac:dyDescent="0.2">
      <c r="A120" t="s">
        <v>723</v>
      </c>
    </row>
    <row r="121" spans="1:1" x14ac:dyDescent="0.2">
      <c r="A121" t="s">
        <v>724</v>
      </c>
    </row>
    <row r="122" spans="1:1" x14ac:dyDescent="0.2">
      <c r="A122" t="s">
        <v>725</v>
      </c>
    </row>
    <row r="123" spans="1:1" x14ac:dyDescent="0.2">
      <c r="A123" t="s">
        <v>631</v>
      </c>
    </row>
    <row r="124" spans="1:1" x14ac:dyDescent="0.2">
      <c r="A124" t="s">
        <v>726</v>
      </c>
    </row>
    <row r="125" spans="1:1" x14ac:dyDescent="0.2">
      <c r="A125" t="s">
        <v>727</v>
      </c>
    </row>
    <row r="126" spans="1:1" x14ac:dyDescent="0.2">
      <c r="A126" t="s">
        <v>954</v>
      </c>
    </row>
    <row r="127" spans="1:1" x14ac:dyDescent="0.2">
      <c r="A127" t="s">
        <v>955</v>
      </c>
    </row>
    <row r="128" spans="1:1" x14ac:dyDescent="0.2">
      <c r="A128" t="s">
        <v>728</v>
      </c>
    </row>
    <row r="129" spans="1:1" x14ac:dyDescent="0.2">
      <c r="A129" t="s">
        <v>729</v>
      </c>
    </row>
    <row r="130" spans="1:1" x14ac:dyDescent="0.2">
      <c r="A130" t="s">
        <v>952</v>
      </c>
    </row>
    <row r="131" spans="1:1" x14ac:dyDescent="0.2">
      <c r="A131" t="s">
        <v>730</v>
      </c>
    </row>
    <row r="132" spans="1:1" x14ac:dyDescent="0.2">
      <c r="A132" t="s">
        <v>731</v>
      </c>
    </row>
    <row r="133" spans="1:1" x14ac:dyDescent="0.2">
      <c r="A133" t="s">
        <v>973</v>
      </c>
    </row>
    <row r="134" spans="1:1" x14ac:dyDescent="0.2">
      <c r="A134" t="s">
        <v>780</v>
      </c>
    </row>
    <row r="135" spans="1:1" x14ac:dyDescent="0.2">
      <c r="A135" t="s">
        <v>781</v>
      </c>
    </row>
    <row r="136" spans="1:1" x14ac:dyDescent="0.2">
      <c r="A136" t="s">
        <v>1036</v>
      </c>
    </row>
    <row r="137" spans="1:1" x14ac:dyDescent="0.2">
      <c r="A137" t="s">
        <v>574</v>
      </c>
    </row>
    <row r="138" spans="1:1" x14ac:dyDescent="0.2">
      <c r="A138" t="s">
        <v>331</v>
      </c>
    </row>
    <row r="139" spans="1:1" x14ac:dyDescent="0.2">
      <c r="A139" t="s">
        <v>577</v>
      </c>
    </row>
    <row r="140" spans="1:1" x14ac:dyDescent="0.2">
      <c r="A140" t="s">
        <v>806</v>
      </c>
    </row>
    <row r="141" spans="1:1" x14ac:dyDescent="0.2">
      <c r="A141" t="s">
        <v>807</v>
      </c>
    </row>
    <row r="142" spans="1:1" x14ac:dyDescent="0.2">
      <c r="A142" t="s">
        <v>733</v>
      </c>
    </row>
    <row r="143" spans="1:1" x14ac:dyDescent="0.2">
      <c r="A143" t="s">
        <v>815</v>
      </c>
    </row>
    <row r="144" spans="1:1" x14ac:dyDescent="0.2">
      <c r="A144" t="s">
        <v>732</v>
      </c>
    </row>
    <row r="145" spans="1:1" x14ac:dyDescent="0.2">
      <c r="A145" t="s">
        <v>817</v>
      </c>
    </row>
    <row r="146" spans="1:1" x14ac:dyDescent="0.2">
      <c r="A146" t="s">
        <v>816</v>
      </c>
    </row>
    <row r="147" spans="1:1" x14ac:dyDescent="0.2">
      <c r="A147" t="s">
        <v>974</v>
      </c>
    </row>
    <row r="148" spans="1:1" x14ac:dyDescent="0.2">
      <c r="A148" t="s">
        <v>975</v>
      </c>
    </row>
    <row r="149" spans="1:1" x14ac:dyDescent="0.2">
      <c r="A149" t="s">
        <v>808</v>
      </c>
    </row>
    <row r="150" spans="1:1" x14ac:dyDescent="0.2">
      <c r="A150" t="s">
        <v>809</v>
      </c>
    </row>
    <row r="151" spans="1:1" x14ac:dyDescent="0.2">
      <c r="A151" t="s">
        <v>810</v>
      </c>
    </row>
    <row r="152" spans="1:1" x14ac:dyDescent="0.2">
      <c r="A152" t="s">
        <v>734</v>
      </c>
    </row>
    <row r="153" spans="1:1" x14ac:dyDescent="0.2">
      <c r="A153" t="s">
        <v>735</v>
      </c>
    </row>
    <row r="154" spans="1:1" x14ac:dyDescent="0.2">
      <c r="A154" t="s">
        <v>850</v>
      </c>
    </row>
    <row r="155" spans="1:1" x14ac:dyDescent="0.2">
      <c r="A155" t="s">
        <v>976</v>
      </c>
    </row>
    <row r="156" spans="1:1" x14ac:dyDescent="0.2">
      <c r="A156" t="s">
        <v>849</v>
      </c>
    </row>
    <row r="157" spans="1:1" x14ac:dyDescent="0.2">
      <c r="A157" t="s">
        <v>1037</v>
      </c>
    </row>
    <row r="158" spans="1:1" x14ac:dyDescent="0.2">
      <c r="A158" t="s">
        <v>977</v>
      </c>
    </row>
    <row r="159" spans="1:1" x14ac:dyDescent="0.2">
      <c r="A159" t="s">
        <v>811</v>
      </c>
    </row>
    <row r="160" spans="1:1" x14ac:dyDescent="0.2">
      <c r="A160" t="s">
        <v>812</v>
      </c>
    </row>
    <row r="161" spans="1:1" x14ac:dyDescent="0.2">
      <c r="A161" t="s">
        <v>813</v>
      </c>
    </row>
    <row r="162" spans="1:1" x14ac:dyDescent="0.2">
      <c r="A162" t="s">
        <v>978</v>
      </c>
    </row>
    <row r="163" spans="1:1" x14ac:dyDescent="0.2">
      <c r="A163" t="s">
        <v>736</v>
      </c>
    </row>
    <row r="164" spans="1:1" x14ac:dyDescent="0.2">
      <c r="A164" t="s">
        <v>979</v>
      </c>
    </row>
    <row r="165" spans="1:1" x14ac:dyDescent="0.2">
      <c r="A165" t="s">
        <v>980</v>
      </c>
    </row>
    <row r="166" spans="1:1" x14ac:dyDescent="0.2">
      <c r="A166" t="s">
        <v>981</v>
      </c>
    </row>
    <row r="167" spans="1:1" x14ac:dyDescent="0.2">
      <c r="A167" t="s">
        <v>982</v>
      </c>
    </row>
    <row r="168" spans="1:1" x14ac:dyDescent="0.2">
      <c r="A168" t="s">
        <v>1038</v>
      </c>
    </row>
    <row r="169" spans="1:1" x14ac:dyDescent="0.2">
      <c r="A169" t="s">
        <v>983</v>
      </c>
    </row>
    <row r="170" spans="1:1" x14ac:dyDescent="0.2">
      <c r="A170" t="s">
        <v>814</v>
      </c>
    </row>
    <row r="171" spans="1:1" x14ac:dyDescent="0.2">
      <c r="A171" t="s">
        <v>818</v>
      </c>
    </row>
    <row r="172" spans="1:1" x14ac:dyDescent="0.2">
      <c r="A172" t="s">
        <v>738</v>
      </c>
    </row>
    <row r="173" spans="1:1" x14ac:dyDescent="0.2">
      <c r="A173" t="s">
        <v>739</v>
      </c>
    </row>
    <row r="174" spans="1:1" x14ac:dyDescent="0.2">
      <c r="A174" t="s">
        <v>740</v>
      </c>
    </row>
    <row r="175" spans="1:1" x14ac:dyDescent="0.2">
      <c r="A175" t="s">
        <v>741</v>
      </c>
    </row>
    <row r="176" spans="1:1" x14ac:dyDescent="0.2">
      <c r="A176" t="s">
        <v>742</v>
      </c>
    </row>
    <row r="177" spans="1:1" x14ac:dyDescent="0.2">
      <c r="A177" t="s">
        <v>743</v>
      </c>
    </row>
    <row r="178" spans="1:1" x14ac:dyDescent="0.2">
      <c r="A178" t="s">
        <v>1039</v>
      </c>
    </row>
    <row r="179" spans="1:1" x14ac:dyDescent="0.2">
      <c r="A179" t="s">
        <v>1040</v>
      </c>
    </row>
    <row r="180" spans="1:1" x14ac:dyDescent="0.2">
      <c r="A180" t="s">
        <v>1041</v>
      </c>
    </row>
    <row r="181" spans="1:1" x14ac:dyDescent="0.2">
      <c r="A181" t="s">
        <v>1031</v>
      </c>
    </row>
    <row r="182" spans="1:1" x14ac:dyDescent="0.2">
      <c r="A182" t="s">
        <v>1032</v>
      </c>
    </row>
    <row r="183" spans="1:1" x14ac:dyDescent="0.2">
      <c r="A183" t="s">
        <v>1033</v>
      </c>
    </row>
    <row r="184" spans="1:1" x14ac:dyDescent="0.2">
      <c r="A184" t="s">
        <v>574</v>
      </c>
    </row>
    <row r="185" spans="1:1" x14ac:dyDescent="0.2">
      <c r="A185" t="s">
        <v>332</v>
      </c>
    </row>
    <row r="186" spans="1:1" x14ac:dyDescent="0.2">
      <c r="A186" t="s">
        <v>578</v>
      </c>
    </row>
    <row r="187" spans="1:1" x14ac:dyDescent="0.2">
      <c r="A187" t="s">
        <v>579</v>
      </c>
    </row>
    <row r="188" spans="1:1" x14ac:dyDescent="0.2">
      <c r="A188" t="s">
        <v>744</v>
      </c>
    </row>
    <row r="189" spans="1:1" x14ac:dyDescent="0.2">
      <c r="A189" t="s">
        <v>864</v>
      </c>
    </row>
    <row r="190" spans="1:1" x14ac:dyDescent="0.2">
      <c r="A190" t="s">
        <v>865</v>
      </c>
    </row>
    <row r="191" spans="1:1" x14ac:dyDescent="0.2">
      <c r="A191" t="s">
        <v>866</v>
      </c>
    </row>
    <row r="192" spans="1:1" x14ac:dyDescent="0.2">
      <c r="A192" t="s">
        <v>867</v>
      </c>
    </row>
    <row r="193" spans="1:1" x14ac:dyDescent="0.2">
      <c r="A193" t="s">
        <v>868</v>
      </c>
    </row>
    <row r="194" spans="1:1" x14ac:dyDescent="0.2">
      <c r="A194" t="s">
        <v>869</v>
      </c>
    </row>
    <row r="195" spans="1:1" x14ac:dyDescent="0.2">
      <c r="A195" t="s">
        <v>870</v>
      </c>
    </row>
    <row r="196" spans="1:1" x14ac:dyDescent="0.2">
      <c r="A196" t="s">
        <v>871</v>
      </c>
    </row>
    <row r="197" spans="1:1" x14ac:dyDescent="0.2">
      <c r="A197" t="s">
        <v>637</v>
      </c>
    </row>
    <row r="198" spans="1:1" x14ac:dyDescent="0.2">
      <c r="A198" t="s">
        <v>872</v>
      </c>
    </row>
    <row r="199" spans="1:1" x14ac:dyDescent="0.2">
      <c r="A199" t="s">
        <v>873</v>
      </c>
    </row>
    <row r="200" spans="1:1" x14ac:dyDescent="0.2">
      <c r="A200" t="s">
        <v>874</v>
      </c>
    </row>
    <row r="201" spans="1:1" x14ac:dyDescent="0.2">
      <c r="A201" t="s">
        <v>875</v>
      </c>
    </row>
    <row r="202" spans="1:1" x14ac:dyDescent="0.2">
      <c r="A202" t="s">
        <v>876</v>
      </c>
    </row>
    <row r="203" spans="1:1" x14ac:dyDescent="0.2">
      <c r="A203" t="s">
        <v>877</v>
      </c>
    </row>
    <row r="204" spans="1:1" x14ac:dyDescent="0.2">
      <c r="A204" t="s">
        <v>878</v>
      </c>
    </row>
    <row r="205" spans="1:1" x14ac:dyDescent="0.2">
      <c r="A205" t="s">
        <v>879</v>
      </c>
    </row>
    <row r="206" spans="1:1" x14ac:dyDescent="0.2">
      <c r="A206" t="s">
        <v>880</v>
      </c>
    </row>
    <row r="207" spans="1:1" x14ac:dyDescent="0.2">
      <c r="A207" t="s">
        <v>881</v>
      </c>
    </row>
    <row r="208" spans="1:1" x14ac:dyDescent="0.2">
      <c r="A208" t="s">
        <v>882</v>
      </c>
    </row>
    <row r="209" spans="1:4" x14ac:dyDescent="0.2">
      <c r="A209" t="s">
        <v>883</v>
      </c>
      <c r="B209" s="75"/>
      <c r="D209" s="75"/>
    </row>
    <row r="210" spans="1:4" x14ac:dyDescent="0.2">
      <c r="A210" t="s">
        <v>884</v>
      </c>
      <c r="B210" s="75"/>
      <c r="D210" s="75"/>
    </row>
    <row r="211" spans="1:4" x14ac:dyDescent="0.2">
      <c r="A211" t="s">
        <v>885</v>
      </c>
      <c r="B211" s="75"/>
      <c r="D211" s="75"/>
    </row>
    <row r="212" spans="1:4" x14ac:dyDescent="0.2">
      <c r="A212" t="s">
        <v>886</v>
      </c>
    </row>
    <row r="213" spans="1:4" x14ac:dyDescent="0.2">
      <c r="A213" t="s">
        <v>887</v>
      </c>
    </row>
    <row r="214" spans="1:4" x14ac:dyDescent="0.2">
      <c r="A214" t="s">
        <v>888</v>
      </c>
    </row>
    <row r="215" spans="1:4" x14ac:dyDescent="0.2">
      <c r="A215" t="s">
        <v>745</v>
      </c>
    </row>
    <row r="216" spans="1:4" x14ac:dyDescent="0.2">
      <c r="A216" t="s">
        <v>889</v>
      </c>
    </row>
    <row r="217" spans="1:4" x14ac:dyDescent="0.2">
      <c r="A217" t="s">
        <v>890</v>
      </c>
    </row>
    <row r="218" spans="1:4" x14ac:dyDescent="0.2">
      <c r="A218" t="s">
        <v>891</v>
      </c>
    </row>
    <row r="219" spans="1:4" x14ac:dyDescent="0.2">
      <c r="A219" t="s">
        <v>892</v>
      </c>
    </row>
    <row r="220" spans="1:4" x14ac:dyDescent="0.2">
      <c r="A220" t="s">
        <v>893</v>
      </c>
    </row>
    <row r="221" spans="1:4" x14ac:dyDescent="0.2">
      <c r="A221" t="s">
        <v>894</v>
      </c>
    </row>
    <row r="222" spans="1:4" x14ac:dyDescent="0.2">
      <c r="A222" t="s">
        <v>895</v>
      </c>
    </row>
    <row r="223" spans="1:4" x14ac:dyDescent="0.2">
      <c r="A223" t="s">
        <v>1034</v>
      </c>
    </row>
    <row r="224" spans="1:4" x14ac:dyDescent="0.2">
      <c r="A224" t="s">
        <v>1031</v>
      </c>
    </row>
    <row r="225" spans="1:4" x14ac:dyDescent="0.2">
      <c r="A225" t="s">
        <v>1032</v>
      </c>
    </row>
    <row r="226" spans="1:4" x14ac:dyDescent="0.2">
      <c r="A226" t="s">
        <v>1033</v>
      </c>
    </row>
    <row r="227" spans="1:4" x14ac:dyDescent="0.2">
      <c r="A227" t="s">
        <v>574</v>
      </c>
    </row>
    <row r="228" spans="1:4" x14ac:dyDescent="0.2">
      <c r="A228" t="s">
        <v>628</v>
      </c>
      <c r="B228" s="75"/>
      <c r="D228" s="75"/>
    </row>
    <row r="229" spans="1:4" x14ac:dyDescent="0.2">
      <c r="A229" t="s">
        <v>638</v>
      </c>
      <c r="B229" s="75"/>
      <c r="D229" s="75"/>
    </row>
    <row r="230" spans="1:4" x14ac:dyDescent="0.2">
      <c r="A230" t="s">
        <v>629</v>
      </c>
      <c r="B230" s="75"/>
      <c r="D230" s="75"/>
    </row>
    <row r="231" spans="1:4" x14ac:dyDescent="0.2">
      <c r="A231" t="s">
        <v>746</v>
      </c>
    </row>
    <row r="232" spans="1:4" x14ac:dyDescent="0.2">
      <c r="A232" t="s">
        <v>747</v>
      </c>
    </row>
    <row r="233" spans="1:4" x14ac:dyDescent="0.2">
      <c r="A233" t="s">
        <v>748</v>
      </c>
    </row>
    <row r="234" spans="1:4" x14ac:dyDescent="0.2">
      <c r="A234" t="s">
        <v>650</v>
      </c>
    </row>
    <row r="235" spans="1:4" x14ac:dyDescent="0.2">
      <c r="A235" t="s">
        <v>749</v>
      </c>
    </row>
    <row r="236" spans="1:4" x14ac:dyDescent="0.2">
      <c r="A236" t="s">
        <v>750</v>
      </c>
    </row>
    <row r="237" spans="1:4" x14ac:dyDescent="0.2">
      <c r="A237" t="s">
        <v>751</v>
      </c>
    </row>
    <row r="238" spans="1:4" x14ac:dyDescent="0.2">
      <c r="A238" t="s">
        <v>737</v>
      </c>
    </row>
    <row r="239" spans="1:4" x14ac:dyDescent="0.2">
      <c r="A239" t="s">
        <v>752</v>
      </c>
    </row>
    <row r="240" spans="1:4" x14ac:dyDescent="0.2">
      <c r="A240" t="s">
        <v>630</v>
      </c>
    </row>
    <row r="241" spans="1:1" x14ac:dyDescent="0.2">
      <c r="A241" t="s">
        <v>984</v>
      </c>
    </row>
    <row r="242" spans="1:1" x14ac:dyDescent="0.2">
      <c r="A242" t="s">
        <v>819</v>
      </c>
    </row>
    <row r="243" spans="1:1" x14ac:dyDescent="0.2">
      <c r="A243" t="s">
        <v>754</v>
      </c>
    </row>
    <row r="244" spans="1:1" x14ac:dyDescent="0.2">
      <c r="A244" t="s">
        <v>753</v>
      </c>
    </row>
    <row r="245" spans="1:1" x14ac:dyDescent="0.2">
      <c r="A245" t="s">
        <v>755</v>
      </c>
    </row>
    <row r="246" spans="1:1" x14ac:dyDescent="0.2">
      <c r="A246" t="s">
        <v>651</v>
      </c>
    </row>
    <row r="247" spans="1:1" x14ac:dyDescent="0.2">
      <c r="A247" t="s">
        <v>860</v>
      </c>
    </row>
    <row r="248" spans="1:1" x14ac:dyDescent="0.2">
      <c r="A248" t="s">
        <v>756</v>
      </c>
    </row>
    <row r="249" spans="1:1" x14ac:dyDescent="0.2">
      <c r="A249" t="s">
        <v>757</v>
      </c>
    </row>
    <row r="250" spans="1:1" x14ac:dyDescent="0.2">
      <c r="A250" t="s">
        <v>851</v>
      </c>
    </row>
    <row r="251" spans="1:1" x14ac:dyDescent="0.2">
      <c r="A251" t="s">
        <v>758</v>
      </c>
    </row>
    <row r="252" spans="1:1" x14ac:dyDescent="0.2">
      <c r="A252" t="s">
        <v>759</v>
      </c>
    </row>
    <row r="253" spans="1:1" x14ac:dyDescent="0.2">
      <c r="A253" t="s">
        <v>760</v>
      </c>
    </row>
    <row r="254" spans="1:1" x14ac:dyDescent="0.2">
      <c r="A254" t="s">
        <v>761</v>
      </c>
    </row>
    <row r="255" spans="1:1" x14ac:dyDescent="0.2">
      <c r="A255" t="s">
        <v>1031</v>
      </c>
    </row>
    <row r="256" spans="1:1" x14ac:dyDescent="0.2">
      <c r="A256" t="s">
        <v>1032</v>
      </c>
    </row>
    <row r="257" spans="1:1" x14ac:dyDescent="0.2">
      <c r="A257" t="s">
        <v>1033</v>
      </c>
    </row>
    <row r="258" spans="1:1" x14ac:dyDescent="0.2">
      <c r="A258" t="s">
        <v>574</v>
      </c>
    </row>
    <row r="259" spans="1:1" x14ac:dyDescent="0.2">
      <c r="A259" t="s">
        <v>967</v>
      </c>
    </row>
    <row r="260" spans="1:1" x14ac:dyDescent="0.2">
      <c r="A260" t="s">
        <v>985</v>
      </c>
    </row>
    <row r="261" spans="1:1" x14ac:dyDescent="0.2">
      <c r="A261" t="s">
        <v>986</v>
      </c>
    </row>
    <row r="262" spans="1:1" x14ac:dyDescent="0.2">
      <c r="A262" t="s">
        <v>987</v>
      </c>
    </row>
    <row r="263" spans="1:1" x14ac:dyDescent="0.2">
      <c r="A263" t="s">
        <v>988</v>
      </c>
    </row>
    <row r="264" spans="1:1" x14ac:dyDescent="0.2">
      <c r="A264" t="s">
        <v>989</v>
      </c>
    </row>
    <row r="265" spans="1:1" x14ac:dyDescent="0.2">
      <c r="A265" t="s">
        <v>990</v>
      </c>
    </row>
    <row r="266" spans="1:1" x14ac:dyDescent="0.2">
      <c r="A266" t="s">
        <v>991</v>
      </c>
    </row>
    <row r="267" spans="1:1" x14ac:dyDescent="0.2">
      <c r="A267" t="s">
        <v>992</v>
      </c>
    </row>
    <row r="268" spans="1:1" x14ac:dyDescent="0.2">
      <c r="A268" t="s">
        <v>993</v>
      </c>
    </row>
    <row r="269" spans="1:1" x14ac:dyDescent="0.2">
      <c r="A269" t="s">
        <v>994</v>
      </c>
    </row>
    <row r="270" spans="1:1" x14ac:dyDescent="0.2">
      <c r="A270" t="s">
        <v>832</v>
      </c>
    </row>
    <row r="271" spans="1:1" x14ac:dyDescent="0.2">
      <c r="A271" t="s">
        <v>995</v>
      </c>
    </row>
    <row r="272" spans="1:1" x14ac:dyDescent="0.2">
      <c r="A272" t="s">
        <v>996</v>
      </c>
    </row>
    <row r="273" spans="1:1" x14ac:dyDescent="0.2">
      <c r="A273" t="s">
        <v>997</v>
      </c>
    </row>
    <row r="274" spans="1:1" x14ac:dyDescent="0.2">
      <c r="A274" t="s">
        <v>998</v>
      </c>
    </row>
    <row r="275" spans="1:1" x14ac:dyDescent="0.2">
      <c r="A275" t="s">
        <v>999</v>
      </c>
    </row>
    <row r="276" spans="1:1" x14ac:dyDescent="0.2">
      <c r="A276" t="s">
        <v>1000</v>
      </c>
    </row>
    <row r="277" spans="1:1" x14ac:dyDescent="0.2">
      <c r="A277" t="s">
        <v>1001</v>
      </c>
    </row>
    <row r="278" spans="1:1" x14ac:dyDescent="0.2">
      <c r="A278" t="s">
        <v>1002</v>
      </c>
    </row>
    <row r="279" spans="1:1" x14ac:dyDescent="0.2">
      <c r="A279" t="s">
        <v>1003</v>
      </c>
    </row>
    <row r="280" spans="1:1" x14ac:dyDescent="0.2">
      <c r="A280" t="s">
        <v>1004</v>
      </c>
    </row>
    <row r="281" spans="1:1" x14ac:dyDescent="0.2">
      <c r="A281" t="s">
        <v>1005</v>
      </c>
    </row>
    <row r="282" spans="1:1" x14ac:dyDescent="0.2">
      <c r="A282" t="s">
        <v>1006</v>
      </c>
    </row>
    <row r="283" spans="1:1" x14ac:dyDescent="0.2">
      <c r="A283" t="s">
        <v>1007</v>
      </c>
    </row>
    <row r="284" spans="1:1" x14ac:dyDescent="0.2">
      <c r="A284" t="s">
        <v>1008</v>
      </c>
    </row>
    <row r="285" spans="1:1" x14ac:dyDescent="0.2">
      <c r="A285" t="s">
        <v>1009</v>
      </c>
    </row>
    <row r="286" spans="1:1" x14ac:dyDescent="0.2">
      <c r="A286" t="s">
        <v>1010</v>
      </c>
    </row>
    <row r="287" spans="1:1" x14ac:dyDescent="0.2">
      <c r="A287" t="s">
        <v>888</v>
      </c>
    </row>
    <row r="288" spans="1:1" x14ac:dyDescent="0.2">
      <c r="A288" t="s">
        <v>1011</v>
      </c>
    </row>
    <row r="289" spans="1:1" x14ac:dyDescent="0.2">
      <c r="A289" t="s">
        <v>1012</v>
      </c>
    </row>
    <row r="290" spans="1:1" x14ac:dyDescent="0.2">
      <c r="A290" t="s">
        <v>1013</v>
      </c>
    </row>
    <row r="291" spans="1:1" x14ac:dyDescent="0.2">
      <c r="A291" t="s">
        <v>1014</v>
      </c>
    </row>
    <row r="292" spans="1:1" x14ac:dyDescent="0.2">
      <c r="A292" t="s">
        <v>1015</v>
      </c>
    </row>
    <row r="293" spans="1:1" x14ac:dyDescent="0.2">
      <c r="A293" t="s">
        <v>1016</v>
      </c>
    </row>
    <row r="294" spans="1:1" x14ac:dyDescent="0.2">
      <c r="A294" t="s">
        <v>1017</v>
      </c>
    </row>
    <row r="295" spans="1:1" x14ac:dyDescent="0.2">
      <c r="A295" t="s">
        <v>1018</v>
      </c>
    </row>
    <row r="296" spans="1:1" x14ac:dyDescent="0.2">
      <c r="A296" t="s">
        <v>1031</v>
      </c>
    </row>
    <row r="297" spans="1:1" x14ac:dyDescent="0.2">
      <c r="A297" t="s">
        <v>1032</v>
      </c>
    </row>
    <row r="298" spans="1:1" x14ac:dyDescent="0.2">
      <c r="A298" t="s">
        <v>1033</v>
      </c>
    </row>
    <row r="299" spans="1:1" x14ac:dyDescent="0.2">
      <c r="A299" t="s">
        <v>574</v>
      </c>
    </row>
    <row r="300" spans="1:1" x14ac:dyDescent="0.2">
      <c r="A300" t="s">
        <v>356</v>
      </c>
    </row>
    <row r="301" spans="1:1" x14ac:dyDescent="0.2">
      <c r="A301" t="s">
        <v>580</v>
      </c>
    </row>
    <row r="302" spans="1:1" x14ac:dyDescent="0.2">
      <c r="A302" t="s">
        <v>1106</v>
      </c>
    </row>
    <row r="303" spans="1:1" x14ac:dyDescent="0.2">
      <c r="A303" t="s">
        <v>762</v>
      </c>
    </row>
    <row r="304" spans="1:1" x14ac:dyDescent="0.2">
      <c r="A304" t="s">
        <v>896</v>
      </c>
    </row>
    <row r="305" spans="1:1" x14ac:dyDescent="0.2">
      <c r="A305" t="s">
        <v>897</v>
      </c>
    </row>
    <row r="306" spans="1:1" x14ac:dyDescent="0.2">
      <c r="A306" t="s">
        <v>898</v>
      </c>
    </row>
    <row r="307" spans="1:1" x14ac:dyDescent="0.2">
      <c r="A307" t="s">
        <v>1042</v>
      </c>
    </row>
    <row r="308" spans="1:1" x14ac:dyDescent="0.2">
      <c r="A308" t="s">
        <v>899</v>
      </c>
    </row>
    <row r="309" spans="1:1" x14ac:dyDescent="0.2">
      <c r="A309" t="s">
        <v>956</v>
      </c>
    </row>
    <row r="310" spans="1:1" x14ac:dyDescent="0.2">
      <c r="A310" t="s">
        <v>1107</v>
      </c>
    </row>
    <row r="311" spans="1:1" x14ac:dyDescent="0.2">
      <c r="A311" t="s">
        <v>900</v>
      </c>
    </row>
    <row r="312" spans="1:1" x14ac:dyDescent="0.2">
      <c r="A312" t="s">
        <v>901</v>
      </c>
    </row>
    <row r="313" spans="1:1" x14ac:dyDescent="0.2">
      <c r="A313" t="s">
        <v>763</v>
      </c>
    </row>
    <row r="314" spans="1:1" x14ac:dyDescent="0.2">
      <c r="A314" t="s">
        <v>902</v>
      </c>
    </row>
    <row r="315" spans="1:1" x14ac:dyDescent="0.2">
      <c r="A315" t="s">
        <v>903</v>
      </c>
    </row>
    <row r="316" spans="1:1" x14ac:dyDescent="0.2">
      <c r="A316" t="s">
        <v>904</v>
      </c>
    </row>
    <row r="317" spans="1:1" x14ac:dyDescent="0.2">
      <c r="A317" t="s">
        <v>905</v>
      </c>
    </row>
    <row r="318" spans="1:1" x14ac:dyDescent="0.2">
      <c r="A318" t="s">
        <v>957</v>
      </c>
    </row>
    <row r="319" spans="1:1" x14ac:dyDescent="0.2">
      <c r="A319" t="s">
        <v>906</v>
      </c>
    </row>
    <row r="320" spans="1:1" x14ac:dyDescent="0.2">
      <c r="A320" t="s">
        <v>907</v>
      </c>
    </row>
    <row r="321" spans="1:1" x14ac:dyDescent="0.2">
      <c r="A321" t="s">
        <v>764</v>
      </c>
    </row>
    <row r="322" spans="1:1" x14ac:dyDescent="0.2">
      <c r="A322" t="s">
        <v>908</v>
      </c>
    </row>
    <row r="323" spans="1:1" x14ac:dyDescent="0.2">
      <c r="A323" t="s">
        <v>909</v>
      </c>
    </row>
    <row r="324" spans="1:1" x14ac:dyDescent="0.2">
      <c r="A324" t="s">
        <v>910</v>
      </c>
    </row>
    <row r="325" spans="1:1" x14ac:dyDescent="0.2">
      <c r="A325" t="s">
        <v>911</v>
      </c>
    </row>
    <row r="326" spans="1:1" x14ac:dyDescent="0.2">
      <c r="A326" t="s">
        <v>912</v>
      </c>
    </row>
    <row r="327" spans="1:1" x14ac:dyDescent="0.2">
      <c r="A327" t="s">
        <v>913</v>
      </c>
    </row>
    <row r="328" spans="1:1" x14ac:dyDescent="0.2">
      <c r="A328" t="s">
        <v>914</v>
      </c>
    </row>
    <row r="329" spans="1:1" x14ac:dyDescent="0.2">
      <c r="A329" t="s">
        <v>639</v>
      </c>
    </row>
    <row r="330" spans="1:1" x14ac:dyDescent="0.2">
      <c r="A330" t="s">
        <v>768</v>
      </c>
    </row>
    <row r="331" spans="1:1" x14ac:dyDescent="0.2">
      <c r="A331" t="s">
        <v>765</v>
      </c>
    </row>
    <row r="332" spans="1:1" x14ac:dyDescent="0.2">
      <c r="A332" t="s">
        <v>820</v>
      </c>
    </row>
    <row r="333" spans="1:1" x14ac:dyDescent="0.2">
      <c r="A333" t="s">
        <v>769</v>
      </c>
    </row>
    <row r="334" spans="1:1" x14ac:dyDescent="0.2">
      <c r="A334" t="s">
        <v>767</v>
      </c>
    </row>
    <row r="335" spans="1:1" x14ac:dyDescent="0.2">
      <c r="A335" t="s">
        <v>766</v>
      </c>
    </row>
    <row r="336" spans="1:1" x14ac:dyDescent="0.2">
      <c r="A336" t="s">
        <v>770</v>
      </c>
    </row>
    <row r="337" spans="1:1" x14ac:dyDescent="0.2">
      <c r="A337" t="s">
        <v>958</v>
      </c>
    </row>
    <row r="338" spans="1:1" x14ac:dyDescent="0.2">
      <c r="A338" t="s">
        <v>1031</v>
      </c>
    </row>
    <row r="339" spans="1:1" x14ac:dyDescent="0.2">
      <c r="A339" t="s">
        <v>1032</v>
      </c>
    </row>
    <row r="340" spans="1:1" x14ac:dyDescent="0.2">
      <c r="A340" t="s">
        <v>1033</v>
      </c>
    </row>
    <row r="341" spans="1:1" x14ac:dyDescent="0.2">
      <c r="A341" t="s">
        <v>574</v>
      </c>
    </row>
    <row r="342" spans="1:1" x14ac:dyDescent="0.2">
      <c r="A342" t="s">
        <v>573</v>
      </c>
    </row>
    <row r="343" spans="1:1" x14ac:dyDescent="0.2">
      <c r="A343" t="s">
        <v>581</v>
      </c>
    </row>
    <row r="344" spans="1:1" x14ac:dyDescent="0.2">
      <c r="A344" t="s">
        <v>915</v>
      </c>
    </row>
    <row r="345" spans="1:1" x14ac:dyDescent="0.2">
      <c r="A345" t="s">
        <v>772</v>
      </c>
    </row>
    <row r="346" spans="1:1" x14ac:dyDescent="0.2">
      <c r="A346" t="s">
        <v>916</v>
      </c>
    </row>
    <row r="347" spans="1:1" x14ac:dyDescent="0.2">
      <c r="A347" t="s">
        <v>917</v>
      </c>
    </row>
    <row r="348" spans="1:1" x14ac:dyDescent="0.2">
      <c r="A348" t="s">
        <v>771</v>
      </c>
    </row>
    <row r="349" spans="1:1" x14ac:dyDescent="0.2">
      <c r="A349" t="s">
        <v>918</v>
      </c>
    </row>
    <row r="350" spans="1:1" x14ac:dyDescent="0.2">
      <c r="A350" t="s">
        <v>919</v>
      </c>
    </row>
    <row r="351" spans="1:1" x14ac:dyDescent="0.2">
      <c r="A351" t="s">
        <v>920</v>
      </c>
    </row>
    <row r="352" spans="1:1" x14ac:dyDescent="0.2">
      <c r="A352" t="s">
        <v>775</v>
      </c>
    </row>
    <row r="353" spans="1:1" x14ac:dyDescent="0.2">
      <c r="A353" t="s">
        <v>879</v>
      </c>
    </row>
    <row r="354" spans="1:1" x14ac:dyDescent="0.2">
      <c r="A354" t="s">
        <v>921</v>
      </c>
    </row>
    <row r="355" spans="1:1" x14ac:dyDescent="0.2">
      <c r="A355" t="s">
        <v>922</v>
      </c>
    </row>
    <row r="356" spans="1:1" x14ac:dyDescent="0.2">
      <c r="A356" t="s">
        <v>923</v>
      </c>
    </row>
    <row r="357" spans="1:1" x14ac:dyDescent="0.2">
      <c r="A357" t="s">
        <v>924</v>
      </c>
    </row>
    <row r="358" spans="1:1" x14ac:dyDescent="0.2">
      <c r="A358" t="s">
        <v>925</v>
      </c>
    </row>
    <row r="359" spans="1:1" x14ac:dyDescent="0.2">
      <c r="A359" t="s">
        <v>926</v>
      </c>
    </row>
    <row r="360" spans="1:1" x14ac:dyDescent="0.2">
      <c r="A360" t="s">
        <v>927</v>
      </c>
    </row>
    <row r="361" spans="1:1" x14ac:dyDescent="0.2">
      <c r="A361" t="s">
        <v>928</v>
      </c>
    </row>
    <row r="362" spans="1:1" x14ac:dyDescent="0.2">
      <c r="A362" t="s">
        <v>929</v>
      </c>
    </row>
    <row r="363" spans="1:1" x14ac:dyDescent="0.2">
      <c r="A363" t="s">
        <v>774</v>
      </c>
    </row>
    <row r="364" spans="1:1" x14ac:dyDescent="0.2">
      <c r="A364" t="s">
        <v>930</v>
      </c>
    </row>
    <row r="365" spans="1:1" x14ac:dyDescent="0.2">
      <c r="A365" t="s">
        <v>931</v>
      </c>
    </row>
    <row r="366" spans="1:1" x14ac:dyDescent="0.2">
      <c r="A366" t="s">
        <v>773</v>
      </c>
    </row>
    <row r="367" spans="1:1" x14ac:dyDescent="0.2">
      <c r="A367" t="s">
        <v>932</v>
      </c>
    </row>
    <row r="368" spans="1:1" x14ac:dyDescent="0.2">
      <c r="A368" t="s">
        <v>933</v>
      </c>
    </row>
    <row r="369" spans="1:1" x14ac:dyDescent="0.2">
      <c r="A369" t="s">
        <v>934</v>
      </c>
    </row>
    <row r="370" spans="1:1" x14ac:dyDescent="0.2">
      <c r="A370" t="s">
        <v>935</v>
      </c>
    </row>
    <row r="371" spans="1:1" x14ac:dyDescent="0.2">
      <c r="A371" t="s">
        <v>888</v>
      </c>
    </row>
    <row r="372" spans="1:1" x14ac:dyDescent="0.2">
      <c r="A372" t="s">
        <v>936</v>
      </c>
    </row>
    <row r="373" spans="1:1" x14ac:dyDescent="0.2">
      <c r="A373" t="s">
        <v>937</v>
      </c>
    </row>
    <row r="374" spans="1:1" x14ac:dyDescent="0.2">
      <c r="A374" t="s">
        <v>938</v>
      </c>
    </row>
    <row r="375" spans="1:1" x14ac:dyDescent="0.2">
      <c r="A375" t="s">
        <v>939</v>
      </c>
    </row>
    <row r="376" spans="1:1" x14ac:dyDescent="0.2">
      <c r="A376" t="s">
        <v>940</v>
      </c>
    </row>
    <row r="377" spans="1:1" x14ac:dyDescent="0.2">
      <c r="A377" t="s">
        <v>941</v>
      </c>
    </row>
    <row r="378" spans="1:1" x14ac:dyDescent="0.2">
      <c r="A378" t="s">
        <v>942</v>
      </c>
    </row>
    <row r="379" spans="1:1" x14ac:dyDescent="0.2">
      <c r="A379" t="s">
        <v>943</v>
      </c>
    </row>
    <row r="380" spans="1:1" x14ac:dyDescent="0.2">
      <c r="A380" t="s">
        <v>1034</v>
      </c>
    </row>
    <row r="381" spans="1:1" x14ac:dyDescent="0.2">
      <c r="A381" t="s">
        <v>1031</v>
      </c>
    </row>
    <row r="382" spans="1:1" x14ac:dyDescent="0.2">
      <c r="A382" t="s">
        <v>1032</v>
      </c>
    </row>
    <row r="383" spans="1:1" x14ac:dyDescent="0.2">
      <c r="A383" t="s">
        <v>1033</v>
      </c>
    </row>
    <row r="385" spans="1:1" x14ac:dyDescent="0.2">
      <c r="A385" t="s">
        <v>1019</v>
      </c>
    </row>
    <row r="386" spans="1:1" x14ac:dyDescent="0.2">
      <c r="A386" t="s">
        <v>776</v>
      </c>
    </row>
    <row r="387" spans="1:1" x14ac:dyDescent="0.2">
      <c r="A387" t="s">
        <v>777</v>
      </c>
    </row>
    <row r="388" spans="1:1" x14ac:dyDescent="0.2">
      <c r="A388" t="s">
        <v>778</v>
      </c>
    </row>
    <row r="390" spans="1:1" x14ac:dyDescent="0.2">
      <c r="A390" t="s">
        <v>1043</v>
      </c>
    </row>
    <row r="391" spans="1:1" x14ac:dyDescent="0.2">
      <c r="A391" t="s">
        <v>652</v>
      </c>
    </row>
    <row r="392" spans="1:1" x14ac:dyDescent="0.2">
      <c r="A392" t="s">
        <v>821</v>
      </c>
    </row>
    <row r="394" spans="1:1" x14ac:dyDescent="0.2">
      <c r="A394" t="s">
        <v>1044</v>
      </c>
    </row>
    <row r="395" spans="1:1" x14ac:dyDescent="0.2">
      <c r="A395" t="s">
        <v>1045</v>
      </c>
    </row>
    <row r="396" spans="1:1" x14ac:dyDescent="0.2">
      <c r="A396" t="s">
        <v>1046</v>
      </c>
    </row>
    <row r="398" spans="1:1" x14ac:dyDescent="0.2">
      <c r="A398" t="s">
        <v>251</v>
      </c>
    </row>
    <row r="400" spans="1:1" x14ac:dyDescent="0.2">
      <c r="A400" t="s">
        <v>252</v>
      </c>
    </row>
    <row r="402" spans="1:4" x14ac:dyDescent="0.2">
      <c r="A402" t="s">
        <v>253</v>
      </c>
    </row>
    <row r="404" spans="1:4" x14ac:dyDescent="0.2">
      <c r="A404" t="s">
        <v>1124</v>
      </c>
    </row>
    <row r="405" spans="1:4" x14ac:dyDescent="0.2">
      <c r="B405" t="s">
        <v>1047</v>
      </c>
      <c r="C405" t="s">
        <v>1048</v>
      </c>
      <c r="D405" t="s">
        <v>1049</v>
      </c>
    </row>
    <row r="406" spans="1:4" x14ac:dyDescent="0.2">
      <c r="A406" t="s">
        <v>259</v>
      </c>
      <c r="B406">
        <v>3.92</v>
      </c>
      <c r="C406">
        <v>3.52</v>
      </c>
      <c r="D406">
        <v>1.94</v>
      </c>
    </row>
    <row r="407" spans="1:4" x14ac:dyDescent="0.2">
      <c r="A407" t="s">
        <v>256</v>
      </c>
      <c r="B407">
        <v>4.9400000000000004</v>
      </c>
      <c r="C407">
        <v>4.68</v>
      </c>
      <c r="D407">
        <v>0.77</v>
      </c>
    </row>
    <row r="408" spans="1:4" x14ac:dyDescent="0.2">
      <c r="A408" t="s">
        <v>261</v>
      </c>
      <c r="B408">
        <v>3.1379999999999999</v>
      </c>
      <c r="C408">
        <v>2.7930000000000001</v>
      </c>
      <c r="D408">
        <v>0.14199999999999999</v>
      </c>
    </row>
    <row r="409" spans="1:4" x14ac:dyDescent="0.2">
      <c r="A409" t="s">
        <v>257</v>
      </c>
      <c r="B409">
        <v>4.8099999999999996</v>
      </c>
      <c r="C409">
        <v>4.21</v>
      </c>
      <c r="D409">
        <v>1.56</v>
      </c>
    </row>
    <row r="410" spans="1:4" x14ac:dyDescent="0.2">
      <c r="A410" t="s">
        <v>258</v>
      </c>
      <c r="B410">
        <v>4.18</v>
      </c>
      <c r="C410">
        <v>3.63</v>
      </c>
      <c r="D410">
        <v>1.85</v>
      </c>
    </row>
    <row r="411" spans="1:4" x14ac:dyDescent="0.2">
      <c r="A411" t="s">
        <v>255</v>
      </c>
      <c r="B411">
        <v>4.75</v>
      </c>
      <c r="C411">
        <v>4.5949999999999998</v>
      </c>
      <c r="D411">
        <v>0.44</v>
      </c>
    </row>
    <row r="412" spans="1:4" x14ac:dyDescent="0.2">
      <c r="A412" t="s">
        <v>260</v>
      </c>
      <c r="B412">
        <v>4.6900000000000004</v>
      </c>
      <c r="C412">
        <v>4.68</v>
      </c>
      <c r="D412">
        <v>0.55000000000000004</v>
      </c>
    </row>
    <row r="413" spans="1:4" x14ac:dyDescent="0.2">
      <c r="A413" t="s">
        <v>254</v>
      </c>
      <c r="B413">
        <v>5.0199999999999996</v>
      </c>
      <c r="C413">
        <v>4.68</v>
      </c>
      <c r="D413">
        <v>1.17</v>
      </c>
    </row>
    <row r="415" spans="1:4" x14ac:dyDescent="0.2">
      <c r="A415" t="s">
        <v>566</v>
      </c>
    </row>
    <row r="417" spans="1:1" x14ac:dyDescent="0.2">
      <c r="A417" t="s">
        <v>262</v>
      </c>
    </row>
    <row r="419" spans="1:1" x14ac:dyDescent="0.2">
      <c r="A419" t="s">
        <v>1050</v>
      </c>
    </row>
    <row r="421" spans="1:1" x14ac:dyDescent="0.2">
      <c r="A421" t="s">
        <v>1051</v>
      </c>
    </row>
    <row r="423" spans="1:1" x14ac:dyDescent="0.2">
      <c r="A423" t="s">
        <v>266</v>
      </c>
    </row>
    <row r="424" spans="1:1" x14ac:dyDescent="0.2">
      <c r="A424" t="s">
        <v>264</v>
      </c>
    </row>
    <row r="425" spans="1:1" x14ac:dyDescent="0.2">
      <c r="A425" t="s">
        <v>268</v>
      </c>
    </row>
    <row r="426" spans="1:1" x14ac:dyDescent="0.2">
      <c r="A426" t="s">
        <v>269</v>
      </c>
    </row>
    <row r="427" spans="1:1" x14ac:dyDescent="0.2">
      <c r="A427" t="s">
        <v>267</v>
      </c>
    </row>
    <row r="428" spans="1:1" x14ac:dyDescent="0.2">
      <c r="A428" t="s">
        <v>265</v>
      </c>
    </row>
    <row r="429" spans="1:1" x14ac:dyDescent="0.2">
      <c r="A429" t="s">
        <v>263</v>
      </c>
    </row>
    <row r="430" spans="1:1" x14ac:dyDescent="0.2">
      <c r="A430" t="s">
        <v>270</v>
      </c>
    </row>
    <row r="431" spans="1:1" x14ac:dyDescent="0.2">
      <c r="A431" t="s">
        <v>1052</v>
      </c>
    </row>
    <row r="432" spans="1:1" x14ac:dyDescent="0.2">
      <c r="A432" t="s">
        <v>1053</v>
      </c>
    </row>
    <row r="434" spans="1:1" x14ac:dyDescent="0.2">
      <c r="A434" t="s">
        <v>1054</v>
      </c>
    </row>
    <row r="436" spans="1:1" x14ac:dyDescent="0.2">
      <c r="A436" t="s">
        <v>1055</v>
      </c>
    </row>
    <row r="437" spans="1:1" x14ac:dyDescent="0.2">
      <c r="A437" t="s">
        <v>1056</v>
      </c>
    </row>
    <row r="438" spans="1:1" x14ac:dyDescent="0.2">
      <c r="A438" t="s">
        <v>1057</v>
      </c>
    </row>
    <row r="439" spans="1:1" x14ac:dyDescent="0.2">
      <c r="A439" t="s">
        <v>1058</v>
      </c>
    </row>
    <row r="440" spans="1:1" x14ac:dyDescent="0.2">
      <c r="A440" t="s">
        <v>1059</v>
      </c>
    </row>
    <row r="441" spans="1:1" x14ac:dyDescent="0.2">
      <c r="A441" t="s">
        <v>1060</v>
      </c>
    </row>
    <row r="442" spans="1:1" x14ac:dyDescent="0.2">
      <c r="A442" t="s">
        <v>1061</v>
      </c>
    </row>
    <row r="443" spans="1:1" x14ac:dyDescent="0.2">
      <c r="A443" t="s">
        <v>1062</v>
      </c>
    </row>
    <row r="444" spans="1:1" x14ac:dyDescent="0.2">
      <c r="A444" t="s">
        <v>1063</v>
      </c>
    </row>
    <row r="445" spans="1:1" x14ac:dyDescent="0.2">
      <c r="A445" t="s">
        <v>1064</v>
      </c>
    </row>
    <row r="447" spans="1:1" x14ac:dyDescent="0.2">
      <c r="A447" t="s">
        <v>1065</v>
      </c>
    </row>
    <row r="449" spans="1:1" x14ac:dyDescent="0.2">
      <c r="A449" t="s">
        <v>628</v>
      </c>
    </row>
    <row r="450" spans="1:1" x14ac:dyDescent="0.2">
      <c r="A450" t="s">
        <v>627</v>
      </c>
    </row>
    <row r="451" spans="1:1" x14ac:dyDescent="0.2">
      <c r="A451" t="s">
        <v>1066</v>
      </c>
    </row>
    <row r="452" spans="1:1" x14ac:dyDescent="0.2">
      <c r="A452" t="s">
        <v>1067</v>
      </c>
    </row>
    <row r="453" spans="1:1" x14ac:dyDescent="0.2">
      <c r="A453" t="s">
        <v>1068</v>
      </c>
    </row>
    <row r="454" spans="1:1" x14ac:dyDescent="0.2">
      <c r="A454" t="s">
        <v>1069</v>
      </c>
    </row>
    <row r="455" spans="1:1" x14ac:dyDescent="0.2">
      <c r="A455" t="s">
        <v>1070</v>
      </c>
    </row>
    <row r="456" spans="1:1" x14ac:dyDescent="0.2">
      <c r="A456" t="s">
        <v>1071</v>
      </c>
    </row>
    <row r="457" spans="1:1" x14ac:dyDescent="0.2">
      <c r="A457" t="s">
        <v>1072</v>
      </c>
    </row>
    <row r="458" spans="1:1" x14ac:dyDescent="0.2">
      <c r="A458" t="s">
        <v>1073</v>
      </c>
    </row>
    <row r="460" spans="1:1" x14ac:dyDescent="0.2">
      <c r="A460" t="s">
        <v>1074</v>
      </c>
    </row>
    <row r="462" spans="1:1" x14ac:dyDescent="0.2">
      <c r="A462" t="s">
        <v>653</v>
      </c>
    </row>
    <row r="464" spans="1:1" x14ac:dyDescent="0.2">
      <c r="A464" t="s">
        <v>1075</v>
      </c>
    </row>
    <row r="465" spans="1:1" x14ac:dyDescent="0.2">
      <c r="A465" t="s">
        <v>1076</v>
      </c>
    </row>
    <row r="466" spans="1:1" x14ac:dyDescent="0.2">
      <c r="A466" t="s">
        <v>1077</v>
      </c>
    </row>
    <row r="467" spans="1:1" x14ac:dyDescent="0.2">
      <c r="A467" t="s">
        <v>1078</v>
      </c>
    </row>
    <row r="468" spans="1:1" x14ac:dyDescent="0.2">
      <c r="A468" t="s">
        <v>1079</v>
      </c>
    </row>
    <row r="470" spans="1:1" x14ac:dyDescent="0.2">
      <c r="A470" t="s">
        <v>387</v>
      </c>
    </row>
    <row r="472" spans="1:1" x14ac:dyDescent="0.2">
      <c r="A472" t="s">
        <v>1080</v>
      </c>
    </row>
    <row r="473" spans="1:1" x14ac:dyDescent="0.2">
      <c r="A473" t="s">
        <v>1081</v>
      </c>
    </row>
    <row r="474" spans="1:1" x14ac:dyDescent="0.2">
      <c r="A474" t="s">
        <v>1082</v>
      </c>
    </row>
    <row r="475" spans="1:1" x14ac:dyDescent="0.2">
      <c r="A475" t="s">
        <v>1083</v>
      </c>
    </row>
    <row r="477" spans="1:1" x14ac:dyDescent="0.2">
      <c r="A477" t="s">
        <v>654</v>
      </c>
    </row>
    <row r="479" spans="1:1" x14ac:dyDescent="0.2">
      <c r="A479" t="s">
        <v>1084</v>
      </c>
    </row>
    <row r="480" spans="1:1" x14ac:dyDescent="0.2">
      <c r="A480" t="s">
        <v>1085</v>
      </c>
    </row>
    <row r="481" spans="1:1" x14ac:dyDescent="0.2">
      <c r="A481" t="s">
        <v>655</v>
      </c>
    </row>
    <row r="482" spans="1:1" x14ac:dyDescent="0.2">
      <c r="A482" t="s">
        <v>1086</v>
      </c>
    </row>
    <row r="483" spans="1:1" x14ac:dyDescent="0.2">
      <c r="A483" t="s">
        <v>1087</v>
      </c>
    </row>
    <row r="484" spans="1:1" x14ac:dyDescent="0.2">
      <c r="A484" t="s">
        <v>1088</v>
      </c>
    </row>
    <row r="485" spans="1:1" x14ac:dyDescent="0.2">
      <c r="A485" t="s">
        <v>1089</v>
      </c>
    </row>
    <row r="486" spans="1:1" x14ac:dyDescent="0.2">
      <c r="A486" t="s">
        <v>1090</v>
      </c>
    </row>
    <row r="488" spans="1:1" x14ac:dyDescent="0.2">
      <c r="A488" t="s">
        <v>333</v>
      </c>
    </row>
    <row r="490" spans="1:1" x14ac:dyDescent="0.2">
      <c r="A490" t="s">
        <v>1103</v>
      </c>
    </row>
    <row r="492" spans="1:1" x14ac:dyDescent="0.2">
      <c r="A492" t="s">
        <v>582</v>
      </c>
    </row>
    <row r="493" spans="1:1" x14ac:dyDescent="0.2">
      <c r="A493" t="s">
        <v>656</v>
      </c>
    </row>
    <row r="495" spans="1:1" x14ac:dyDescent="0.2">
      <c r="A495" t="s">
        <v>1091</v>
      </c>
    </row>
    <row r="497" spans="1:1" x14ac:dyDescent="0.2">
      <c r="A497" t="s">
        <v>1092</v>
      </c>
    </row>
  </sheetData>
  <phoneticPr fontId="53" type="noConversion"/>
  <hyperlinks>
    <hyperlink ref="B1" r:id="rId1" xr:uid="{00000000-0004-0000-0500-000000000000}"/>
  </hyperlinks>
  <pageMargins left="0.75" right="0.75" top="1" bottom="1" header="0.5" footer="0.5"/>
  <pageSetup orientation="portrait" horizontalDpi="4294967294"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J402"/>
  <sheetViews>
    <sheetView topLeftCell="A310" workbookViewId="0">
      <selection activeCell="A2" sqref="A2"/>
    </sheetView>
  </sheetViews>
  <sheetFormatPr defaultRowHeight="12" x14ac:dyDescent="0.2"/>
  <cols>
    <col min="1" max="1" width="52.109375" bestFit="1" customWidth="1"/>
    <col min="2" max="2" width="12" bestFit="1" customWidth="1"/>
    <col min="3" max="3" width="18.21875" bestFit="1" customWidth="1"/>
    <col min="4" max="5" width="11" bestFit="1" customWidth="1"/>
    <col min="6" max="6" width="3" bestFit="1" customWidth="1"/>
    <col min="8" max="8" width="9.88671875" bestFit="1" customWidth="1"/>
  </cols>
  <sheetData>
    <row r="1" spans="1:1" x14ac:dyDescent="0.2">
      <c r="A1" s="186" t="str">
        <f>Analysis!E2</f>
        <v>aapl</v>
      </c>
    </row>
    <row r="2" spans="1:1" x14ac:dyDescent="0.2">
      <c r="A2" s="187" t="s">
        <v>583</v>
      </c>
    </row>
    <row r="3" spans="1:1" x14ac:dyDescent="0.2">
      <c r="A3" t="s">
        <v>822</v>
      </c>
    </row>
    <row r="4" spans="1:1" x14ac:dyDescent="0.2">
      <c r="A4" t="s">
        <v>1093</v>
      </c>
    </row>
    <row r="5" spans="1:1" x14ac:dyDescent="0.2">
      <c r="A5" t="s">
        <v>944</v>
      </c>
    </row>
    <row r="7" spans="1:1" x14ac:dyDescent="0.2">
      <c r="A7" t="s">
        <v>1020</v>
      </c>
    </row>
    <row r="8" spans="1:1" x14ac:dyDescent="0.2">
      <c r="A8" t="s">
        <v>313</v>
      </c>
    </row>
    <row r="9" spans="1:1" x14ac:dyDescent="0.2">
      <c r="A9" t="s">
        <v>384</v>
      </c>
    </row>
    <row r="10" spans="1:1" x14ac:dyDescent="0.2">
      <c r="A10" t="s">
        <v>665</v>
      </c>
    </row>
    <row r="11" spans="1:1" x14ac:dyDescent="0.2">
      <c r="A11" t="s">
        <v>666</v>
      </c>
    </row>
    <row r="12" spans="1:1" x14ac:dyDescent="0.2">
      <c r="A12" t="s">
        <v>385</v>
      </c>
    </row>
    <row r="13" spans="1:1" x14ac:dyDescent="0.2">
      <c r="A13" t="s">
        <v>584</v>
      </c>
    </row>
    <row r="14" spans="1:1" x14ac:dyDescent="0.2">
      <c r="A14" t="s">
        <v>386</v>
      </c>
    </row>
    <row r="16" spans="1:1" x14ac:dyDescent="0.2">
      <c r="A16" t="s">
        <v>514</v>
      </c>
    </row>
    <row r="18" spans="1:1" x14ac:dyDescent="0.2">
      <c r="A18" t="s">
        <v>241</v>
      </c>
    </row>
    <row r="19" spans="1:1" x14ac:dyDescent="0.2">
      <c r="A19" t="s">
        <v>784</v>
      </c>
    </row>
    <row r="21" spans="1:1" x14ac:dyDescent="0.2">
      <c r="A21" t="s">
        <v>336</v>
      </c>
    </row>
    <row r="22" spans="1:1" x14ac:dyDescent="0.2">
      <c r="A22" t="s">
        <v>337</v>
      </c>
    </row>
    <row r="23" spans="1:1" x14ac:dyDescent="0.2">
      <c r="A23" t="s">
        <v>338</v>
      </c>
    </row>
    <row r="24" spans="1:1" x14ac:dyDescent="0.2">
      <c r="A24" t="s">
        <v>339</v>
      </c>
    </row>
    <row r="25" spans="1:1" x14ac:dyDescent="0.2">
      <c r="A25" t="s">
        <v>507</v>
      </c>
    </row>
    <row r="26" spans="1:1" x14ac:dyDescent="0.2">
      <c r="A26" t="s">
        <v>340</v>
      </c>
    </row>
    <row r="27" spans="1:1" x14ac:dyDescent="0.2">
      <c r="A27" t="s">
        <v>341</v>
      </c>
    </row>
    <row r="29" spans="1:1" x14ac:dyDescent="0.2">
      <c r="A29" t="s">
        <v>785</v>
      </c>
    </row>
    <row r="31" spans="1:1" x14ac:dyDescent="0.2">
      <c r="A31" t="s">
        <v>342</v>
      </c>
    </row>
    <row r="32" spans="1:1" x14ac:dyDescent="0.2">
      <c r="A32" t="s">
        <v>343</v>
      </c>
    </row>
    <row r="33" spans="1:1" x14ac:dyDescent="0.2">
      <c r="A33" t="s">
        <v>242</v>
      </c>
    </row>
    <row r="34" spans="1:1" x14ac:dyDescent="0.2">
      <c r="A34" t="s">
        <v>344</v>
      </c>
    </row>
    <row r="35" spans="1:1" x14ac:dyDescent="0.2">
      <c r="A35" t="s">
        <v>345</v>
      </c>
    </row>
    <row r="36" spans="1:1" x14ac:dyDescent="0.2">
      <c r="A36" t="s">
        <v>346</v>
      </c>
    </row>
    <row r="38" spans="1:1" x14ac:dyDescent="0.2">
      <c r="A38" t="s">
        <v>861</v>
      </c>
    </row>
    <row r="39" spans="1:1" x14ac:dyDescent="0.2">
      <c r="A39" t="s">
        <v>786</v>
      </c>
    </row>
    <row r="41" spans="1:1" x14ac:dyDescent="0.2">
      <c r="A41" t="s">
        <v>347</v>
      </c>
    </row>
    <row r="42" spans="1:1" x14ac:dyDescent="0.2">
      <c r="A42" t="s">
        <v>348</v>
      </c>
    </row>
    <row r="43" spans="1:1" x14ac:dyDescent="0.2">
      <c r="A43" t="s">
        <v>349</v>
      </c>
    </row>
    <row r="44" spans="1:1" x14ac:dyDescent="0.2">
      <c r="A44" t="s">
        <v>350</v>
      </c>
    </row>
    <row r="45" spans="1:1" x14ac:dyDescent="0.2">
      <c r="A45" t="s">
        <v>508</v>
      </c>
    </row>
    <row r="47" spans="1:1" x14ac:dyDescent="0.2">
      <c r="A47" t="s">
        <v>787</v>
      </c>
    </row>
    <row r="49" spans="1:1" x14ac:dyDescent="0.2">
      <c r="A49" t="s">
        <v>351</v>
      </c>
    </row>
    <row r="50" spans="1:1" x14ac:dyDescent="0.2">
      <c r="A50" t="s">
        <v>352</v>
      </c>
    </row>
    <row r="51" spans="1:1" x14ac:dyDescent="0.2">
      <c r="A51" t="s">
        <v>344</v>
      </c>
    </row>
    <row r="52" spans="1:1" x14ac:dyDescent="0.2">
      <c r="A52" t="s">
        <v>345</v>
      </c>
    </row>
    <row r="53" spans="1:1" x14ac:dyDescent="0.2">
      <c r="A53" t="s">
        <v>353</v>
      </c>
    </row>
    <row r="54" spans="1:1" x14ac:dyDescent="0.2">
      <c r="A54" t="s">
        <v>354</v>
      </c>
    </row>
    <row r="56" spans="1:1" x14ac:dyDescent="0.2">
      <c r="A56" t="s">
        <v>788</v>
      </c>
    </row>
    <row r="58" spans="1:1" x14ac:dyDescent="0.2">
      <c r="A58" t="s">
        <v>355</v>
      </c>
    </row>
    <row r="59" spans="1:1" x14ac:dyDescent="0.2">
      <c r="A59" t="s">
        <v>356</v>
      </c>
    </row>
    <row r="60" spans="1:1" x14ac:dyDescent="0.2">
      <c r="A60" t="s">
        <v>332</v>
      </c>
    </row>
    <row r="61" spans="1:1" x14ac:dyDescent="0.2">
      <c r="A61" t="s">
        <v>357</v>
      </c>
    </row>
    <row r="62" spans="1:1" x14ac:dyDescent="0.2">
      <c r="A62" t="s">
        <v>358</v>
      </c>
    </row>
    <row r="63" spans="1:1" x14ac:dyDescent="0.2">
      <c r="A63" t="s">
        <v>359</v>
      </c>
    </row>
    <row r="64" spans="1:1" x14ac:dyDescent="0.2">
      <c r="A64" t="s">
        <v>360</v>
      </c>
    </row>
    <row r="66" spans="1:1" x14ac:dyDescent="0.2">
      <c r="A66" t="s">
        <v>789</v>
      </c>
    </row>
    <row r="68" spans="1:1" x14ac:dyDescent="0.2">
      <c r="A68" t="s">
        <v>361</v>
      </c>
    </row>
    <row r="69" spans="1:1" x14ac:dyDescent="0.2">
      <c r="A69" t="s">
        <v>362</v>
      </c>
    </row>
    <row r="71" spans="1:1" x14ac:dyDescent="0.2">
      <c r="A71" t="s">
        <v>790</v>
      </c>
    </row>
    <row r="73" spans="1:1" x14ac:dyDescent="0.2">
      <c r="A73" t="s">
        <v>363</v>
      </c>
    </row>
    <row r="74" spans="1:1" x14ac:dyDescent="0.2">
      <c r="A74" t="s">
        <v>336</v>
      </c>
    </row>
    <row r="75" spans="1:1" x14ac:dyDescent="0.2">
      <c r="A75" t="s">
        <v>364</v>
      </c>
    </row>
    <row r="76" spans="1:1" x14ac:dyDescent="0.2">
      <c r="A76" t="s">
        <v>342</v>
      </c>
    </row>
    <row r="77" spans="1:1" x14ac:dyDescent="0.2">
      <c r="A77" t="s">
        <v>350</v>
      </c>
    </row>
    <row r="78" spans="1:1" x14ac:dyDescent="0.2">
      <c r="A78" t="s">
        <v>351</v>
      </c>
    </row>
    <row r="79" spans="1:1" x14ac:dyDescent="0.2">
      <c r="A79" t="s">
        <v>823</v>
      </c>
    </row>
    <row r="80" spans="1:1" x14ac:dyDescent="0.2">
      <c r="A80" t="s">
        <v>824</v>
      </c>
    </row>
    <row r="82" spans="1:1" x14ac:dyDescent="0.2">
      <c r="A82" t="s">
        <v>365</v>
      </c>
    </row>
    <row r="83" spans="1:1" x14ac:dyDescent="0.2">
      <c r="A83" t="s">
        <v>325</v>
      </c>
    </row>
    <row r="84" spans="1:1" x14ac:dyDescent="0.2">
      <c r="A84" t="s">
        <v>791</v>
      </c>
    </row>
    <row r="85" spans="1:1" x14ac:dyDescent="0.2">
      <c r="A85" t="s">
        <v>792</v>
      </c>
    </row>
    <row r="86" spans="1:1" x14ac:dyDescent="0.2">
      <c r="A86" t="s">
        <v>367</v>
      </c>
    </row>
    <row r="88" spans="1:1" x14ac:dyDescent="0.2">
      <c r="A88" t="s">
        <v>368</v>
      </c>
    </row>
    <row r="89" spans="1:1" x14ac:dyDescent="0.2">
      <c r="A89" t="s">
        <v>369</v>
      </c>
    </row>
    <row r="90" spans="1:1" x14ac:dyDescent="0.2">
      <c r="A90" t="s">
        <v>370</v>
      </c>
    </row>
    <row r="92" spans="1:1" x14ac:dyDescent="0.2">
      <c r="A92" t="s">
        <v>509</v>
      </c>
    </row>
    <row r="95" spans="1:1" x14ac:dyDescent="0.2">
      <c r="A95" t="s">
        <v>374</v>
      </c>
    </row>
    <row r="96" spans="1:1" x14ac:dyDescent="0.2">
      <c r="A96" t="s">
        <v>375</v>
      </c>
    </row>
    <row r="97" spans="1:1" x14ac:dyDescent="0.2">
      <c r="A97" t="s">
        <v>376</v>
      </c>
    </row>
    <row r="98" spans="1:1" x14ac:dyDescent="0.2">
      <c r="A98" t="s">
        <v>380</v>
      </c>
    </row>
    <row r="99" spans="1:1" x14ac:dyDescent="0.2">
      <c r="A99" t="s">
        <v>383</v>
      </c>
    </row>
    <row r="100" spans="1:1" x14ac:dyDescent="0.2">
      <c r="A100" t="s">
        <v>382</v>
      </c>
    </row>
    <row r="102" spans="1:1" x14ac:dyDescent="0.2">
      <c r="A102" t="s">
        <v>510</v>
      </c>
    </row>
    <row r="105" spans="1:1" x14ac:dyDescent="0.2">
      <c r="A105" t="s">
        <v>378</v>
      </c>
    </row>
    <row r="106" spans="1:1" x14ac:dyDescent="0.2">
      <c r="A106" t="s">
        <v>354</v>
      </c>
    </row>
    <row r="107" spans="1:1" x14ac:dyDescent="0.2">
      <c r="A107" t="s">
        <v>371</v>
      </c>
    </row>
    <row r="109" spans="1:1" x14ac:dyDescent="0.2">
      <c r="A109" t="s">
        <v>511</v>
      </c>
    </row>
    <row r="112" spans="1:1" x14ac:dyDescent="0.2">
      <c r="A112" t="s">
        <v>372</v>
      </c>
    </row>
    <row r="113" spans="1:1" x14ac:dyDescent="0.2">
      <c r="A113" t="s">
        <v>373</v>
      </c>
    </row>
    <row r="114" spans="1:1" x14ac:dyDescent="0.2">
      <c r="A114" t="s">
        <v>825</v>
      </c>
    </row>
    <row r="115" spans="1:1" x14ac:dyDescent="0.2">
      <c r="A115" t="s">
        <v>377</v>
      </c>
    </row>
    <row r="116" spans="1:1" x14ac:dyDescent="0.2">
      <c r="A116" t="s">
        <v>512</v>
      </c>
    </row>
    <row r="117" spans="1:1" x14ac:dyDescent="0.2">
      <c r="A117" t="s">
        <v>379</v>
      </c>
    </row>
    <row r="118" spans="1:1" x14ac:dyDescent="0.2">
      <c r="A118" t="s">
        <v>793</v>
      </c>
    </row>
    <row r="119" spans="1:1" x14ac:dyDescent="0.2">
      <c r="A119" t="s">
        <v>381</v>
      </c>
    </row>
    <row r="120" spans="1:1" x14ac:dyDescent="0.2">
      <c r="A120" t="s">
        <v>513</v>
      </c>
    </row>
    <row r="122" spans="1:1" x14ac:dyDescent="0.2">
      <c r="A122" t="s">
        <v>563</v>
      </c>
    </row>
    <row r="125" spans="1:1" x14ac:dyDescent="0.2">
      <c r="A125" t="s">
        <v>1094</v>
      </c>
    </row>
    <row r="126" spans="1:1" x14ac:dyDescent="0.2">
      <c r="A126" t="s">
        <v>568</v>
      </c>
    </row>
    <row r="127" spans="1:1" x14ac:dyDescent="0.2">
      <c r="A127" t="s">
        <v>585</v>
      </c>
    </row>
    <row r="128" spans="1:1" x14ac:dyDescent="0.2">
      <c r="A128" t="s">
        <v>564</v>
      </c>
    </row>
    <row r="129" spans="1:1" x14ac:dyDescent="0.2">
      <c r="A129" t="s">
        <v>586</v>
      </c>
    </row>
    <row r="130" spans="1:1" x14ac:dyDescent="0.2">
      <c r="A130" t="s">
        <v>562</v>
      </c>
    </row>
    <row r="132" spans="1:1" x14ac:dyDescent="0.2">
      <c r="A132" t="s">
        <v>794</v>
      </c>
    </row>
    <row r="134" spans="1:1" x14ac:dyDescent="0.2">
      <c r="A134" t="s">
        <v>1020</v>
      </c>
    </row>
    <row r="136" spans="1:1" x14ac:dyDescent="0.2">
      <c r="A136" t="s">
        <v>313</v>
      </c>
    </row>
    <row r="138" spans="1:1" x14ac:dyDescent="0.2">
      <c r="A138" t="s">
        <v>384</v>
      </c>
    </row>
    <row r="139" spans="1:1" x14ac:dyDescent="0.2">
      <c r="A139" t="s">
        <v>665</v>
      </c>
    </row>
    <row r="140" spans="1:1" x14ac:dyDescent="0.2">
      <c r="A140" t="s">
        <v>666</v>
      </c>
    </row>
    <row r="141" spans="1:1" x14ac:dyDescent="0.2">
      <c r="A141" t="s">
        <v>385</v>
      </c>
    </row>
    <row r="142" spans="1:1" x14ac:dyDescent="0.2">
      <c r="A142" t="s">
        <v>584</v>
      </c>
    </row>
    <row r="143" spans="1:1" x14ac:dyDescent="0.2">
      <c r="A143" t="s">
        <v>386</v>
      </c>
    </row>
    <row r="145" spans="1:1" x14ac:dyDescent="0.2">
      <c r="A145" t="s">
        <v>387</v>
      </c>
    </row>
    <row r="147" spans="1:1" x14ac:dyDescent="0.2">
      <c r="A147" t="s">
        <v>944</v>
      </c>
    </row>
    <row r="148" spans="1:1" x14ac:dyDescent="0.2">
      <c r="A148" t="s">
        <v>388</v>
      </c>
    </row>
    <row r="149" spans="1:1" x14ac:dyDescent="0.2">
      <c r="A149" t="s">
        <v>389</v>
      </c>
    </row>
    <row r="150" spans="1:1" x14ac:dyDescent="0.2">
      <c r="A150" t="s">
        <v>390</v>
      </c>
    </row>
    <row r="151" spans="1:1" x14ac:dyDescent="0.2">
      <c r="A151" t="s">
        <v>391</v>
      </c>
    </row>
    <row r="152" spans="1:1" x14ac:dyDescent="0.2">
      <c r="A152" t="s">
        <v>392</v>
      </c>
    </row>
    <row r="153" spans="1:1" x14ac:dyDescent="0.2">
      <c r="A153" t="s">
        <v>314</v>
      </c>
    </row>
    <row r="154" spans="1:1" x14ac:dyDescent="0.2">
      <c r="A154" t="s">
        <v>410</v>
      </c>
    </row>
    <row r="155" spans="1:1" x14ac:dyDescent="0.2">
      <c r="A155" t="s">
        <v>393</v>
      </c>
    </row>
    <row r="156" spans="1:1" x14ac:dyDescent="0.2">
      <c r="A156" t="s">
        <v>515</v>
      </c>
    </row>
    <row r="157" spans="1:1" x14ac:dyDescent="0.2">
      <c r="A157" t="s">
        <v>826</v>
      </c>
    </row>
    <row r="159" spans="1:1" x14ac:dyDescent="0.2">
      <c r="A159" t="s">
        <v>394</v>
      </c>
    </row>
    <row r="160" spans="1:1" x14ac:dyDescent="0.2">
      <c r="A160" t="s">
        <v>516</v>
      </c>
    </row>
    <row r="161" spans="1:1" x14ac:dyDescent="0.2">
      <c r="A161" t="s">
        <v>517</v>
      </c>
    </row>
    <row r="162" spans="1:1" x14ac:dyDescent="0.2">
      <c r="A162" t="s">
        <v>1095</v>
      </c>
    </row>
    <row r="164" spans="1:1" x14ac:dyDescent="0.2">
      <c r="A164" t="s">
        <v>518</v>
      </c>
    </row>
    <row r="166" spans="1:1" x14ac:dyDescent="0.2">
      <c r="A166" t="s">
        <v>519</v>
      </c>
    </row>
    <row r="167" spans="1:1" x14ac:dyDescent="0.2">
      <c r="A167" t="s">
        <v>520</v>
      </c>
    </row>
    <row r="168" spans="1:1" x14ac:dyDescent="0.2">
      <c r="A168" t="s">
        <v>521</v>
      </c>
    </row>
    <row r="169" spans="1:1" x14ac:dyDescent="0.2">
      <c r="A169" t="s">
        <v>1021</v>
      </c>
    </row>
    <row r="170" spans="1:1" x14ac:dyDescent="0.2">
      <c r="A170" t="s">
        <v>399</v>
      </c>
    </row>
    <row r="171" spans="1:1" x14ac:dyDescent="0.2">
      <c r="A171" t="s">
        <v>522</v>
      </c>
    </row>
    <row r="173" spans="1:1" x14ac:dyDescent="0.2">
      <c r="A173" t="s">
        <v>523</v>
      </c>
    </row>
    <row r="175" spans="1:1" x14ac:dyDescent="0.2">
      <c r="A175" t="s">
        <v>1022</v>
      </c>
    </row>
    <row r="176" spans="1:1" x14ac:dyDescent="0.2">
      <c r="A176" t="s">
        <v>397</v>
      </c>
    </row>
    <row r="177" spans="1:1" x14ac:dyDescent="0.2">
      <c r="A177" t="s">
        <v>852</v>
      </c>
    </row>
    <row r="178" spans="1:1" x14ac:dyDescent="0.2">
      <c r="A178" t="s">
        <v>524</v>
      </c>
    </row>
    <row r="179" spans="1:1" x14ac:dyDescent="0.2">
      <c r="A179" t="s">
        <v>398</v>
      </c>
    </row>
    <row r="180" spans="1:1" x14ac:dyDescent="0.2">
      <c r="A180" t="s">
        <v>400</v>
      </c>
    </row>
    <row r="181" spans="1:1" x14ac:dyDescent="0.2">
      <c r="A181" t="s">
        <v>401</v>
      </c>
    </row>
    <row r="182" spans="1:1" x14ac:dyDescent="0.2">
      <c r="A182" t="s">
        <v>862</v>
      </c>
    </row>
    <row r="184" spans="1:1" x14ac:dyDescent="0.2">
      <c r="A184" t="s">
        <v>525</v>
      </c>
    </row>
    <row r="186" spans="1:1" x14ac:dyDescent="0.2">
      <c r="A186" t="s">
        <v>526</v>
      </c>
    </row>
    <row r="187" spans="1:1" x14ac:dyDescent="0.2">
      <c r="A187" t="s">
        <v>527</v>
      </c>
    </row>
    <row r="188" spans="1:1" x14ac:dyDescent="0.2">
      <c r="A188" t="s">
        <v>402</v>
      </c>
    </row>
    <row r="189" spans="1:1" x14ac:dyDescent="0.2">
      <c r="A189" t="s">
        <v>528</v>
      </c>
    </row>
    <row r="190" spans="1:1" x14ac:dyDescent="0.2">
      <c r="A190" t="s">
        <v>403</v>
      </c>
    </row>
    <row r="191" spans="1:1" x14ac:dyDescent="0.2">
      <c r="A191" t="s">
        <v>404</v>
      </c>
    </row>
    <row r="192" spans="1:1" x14ac:dyDescent="0.2">
      <c r="A192" t="s">
        <v>405</v>
      </c>
    </row>
    <row r="193" spans="1:1" x14ac:dyDescent="0.2">
      <c r="A193" t="s">
        <v>406</v>
      </c>
    </row>
    <row r="195" spans="1:1" x14ac:dyDescent="0.2">
      <c r="A195" t="s">
        <v>529</v>
      </c>
    </row>
    <row r="197" spans="1:1" x14ac:dyDescent="0.2">
      <c r="A197" t="s">
        <v>407</v>
      </c>
    </row>
    <row r="198" spans="1:1" x14ac:dyDescent="0.2">
      <c r="A198" t="s">
        <v>408</v>
      </c>
    </row>
    <row r="199" spans="1:1" x14ac:dyDescent="0.2">
      <c r="A199" t="s">
        <v>409</v>
      </c>
    </row>
    <row r="200" spans="1:1" x14ac:dyDescent="0.2">
      <c r="A200" t="s">
        <v>410</v>
      </c>
    </row>
    <row r="202" spans="1:1" x14ac:dyDescent="0.2">
      <c r="A202" t="s">
        <v>530</v>
      </c>
    </row>
    <row r="204" spans="1:1" x14ac:dyDescent="0.2">
      <c r="A204" t="s">
        <v>395</v>
      </c>
    </row>
    <row r="205" spans="1:1" x14ac:dyDescent="0.2">
      <c r="A205" t="s">
        <v>396</v>
      </c>
    </row>
    <row r="206" spans="1:1" x14ac:dyDescent="0.2">
      <c r="A206" s="74"/>
    </row>
    <row r="207" spans="1:1" x14ac:dyDescent="0.2">
      <c r="A207" t="s">
        <v>531</v>
      </c>
    </row>
    <row r="208" spans="1:1" x14ac:dyDescent="0.2">
      <c r="A208" t="s">
        <v>532</v>
      </c>
    </row>
    <row r="210" spans="1:3" x14ac:dyDescent="0.2">
      <c r="A210" s="74" t="s">
        <v>1109</v>
      </c>
    </row>
    <row r="211" spans="1:3" x14ac:dyDescent="0.2">
      <c r="A211" t="s">
        <v>1123</v>
      </c>
    </row>
    <row r="212" spans="1:3" x14ac:dyDescent="0.2">
      <c r="A212" s="74" t="s">
        <v>1128</v>
      </c>
    </row>
    <row r="213" spans="1:3" x14ac:dyDescent="0.2">
      <c r="A213">
        <v>144.16</v>
      </c>
      <c r="C213" s="75"/>
    </row>
    <row r="214" spans="1:3" x14ac:dyDescent="0.2">
      <c r="A214" s="74">
        <v>16591460</v>
      </c>
      <c r="C214" s="75"/>
    </row>
    <row r="215" spans="1:3" x14ac:dyDescent="0.2">
      <c r="A215" t="s">
        <v>1129</v>
      </c>
      <c r="C215" s="75"/>
    </row>
    <row r="216" spans="1:3" x14ac:dyDescent="0.2">
      <c r="A216" t="s">
        <v>1130</v>
      </c>
      <c r="C216" s="75"/>
    </row>
    <row r="217" spans="1:3" x14ac:dyDescent="0.2">
      <c r="A217" t="s">
        <v>533</v>
      </c>
      <c r="C217" s="75"/>
    </row>
    <row r="218" spans="1:3" x14ac:dyDescent="0.2">
      <c r="A218" t="s">
        <v>853</v>
      </c>
      <c r="C218" s="75"/>
    </row>
    <row r="219" spans="1:3" x14ac:dyDescent="0.2">
      <c r="A219" t="s">
        <v>854</v>
      </c>
      <c r="C219" s="75"/>
    </row>
    <row r="220" spans="1:3" x14ac:dyDescent="0.2">
      <c r="A220" t="s">
        <v>421</v>
      </c>
      <c r="C220" s="75"/>
    </row>
    <row r="221" spans="1:3" x14ac:dyDescent="0.2">
      <c r="A221" t="s">
        <v>338</v>
      </c>
      <c r="B221" t="s">
        <v>422</v>
      </c>
      <c r="C221" s="75" t="s">
        <v>423</v>
      </c>
    </row>
    <row r="222" spans="1:3" x14ac:dyDescent="0.2">
      <c r="A222">
        <v>1</v>
      </c>
      <c r="B222" t="s">
        <v>424</v>
      </c>
      <c r="C222" s="75">
        <v>0.24279999999999999</v>
      </c>
    </row>
    <row r="223" spans="1:3" x14ac:dyDescent="0.2">
      <c r="A223">
        <v>2</v>
      </c>
      <c r="B223" t="s">
        <v>425</v>
      </c>
      <c r="C223" s="75">
        <v>0.17829999999999999</v>
      </c>
    </row>
    <row r="224" spans="1:3" x14ac:dyDescent="0.2">
      <c r="A224">
        <v>3</v>
      </c>
      <c r="B224" t="s">
        <v>426</v>
      </c>
      <c r="C224" s="75">
        <v>9.1899999999999996E-2</v>
      </c>
    </row>
    <row r="225" spans="1:3" x14ac:dyDescent="0.2">
      <c r="A225">
        <v>4</v>
      </c>
      <c r="B225" t="s">
        <v>427</v>
      </c>
      <c r="C225" s="75">
        <v>0.05</v>
      </c>
    </row>
    <row r="226" spans="1:3" x14ac:dyDescent="0.2">
      <c r="A226">
        <v>5</v>
      </c>
      <c r="B226" t="s">
        <v>428</v>
      </c>
      <c r="C226" s="75">
        <v>2.1600000000000001E-2</v>
      </c>
    </row>
    <row r="227" spans="1:3" x14ac:dyDescent="0.2">
      <c r="A227" t="s">
        <v>429</v>
      </c>
      <c r="B227">
        <v>500</v>
      </c>
      <c r="C227" s="75">
        <v>0.1051</v>
      </c>
    </row>
    <row r="228" spans="1:3" x14ac:dyDescent="0.2">
      <c r="A228" t="s">
        <v>430</v>
      </c>
      <c r="C228" s="75"/>
    </row>
    <row r="229" spans="1:3" x14ac:dyDescent="0.2">
      <c r="A229" t="s">
        <v>431</v>
      </c>
    </row>
    <row r="230" spans="1:3" x14ac:dyDescent="0.2">
      <c r="A230" t="s">
        <v>534</v>
      </c>
    </row>
    <row r="231" spans="1:3" x14ac:dyDescent="0.2">
      <c r="A231" t="s">
        <v>1099</v>
      </c>
    </row>
    <row r="232" spans="1:3" x14ac:dyDescent="0.2">
      <c r="A232" t="s">
        <v>855</v>
      </c>
    </row>
    <row r="233" spans="1:3" x14ac:dyDescent="0.2">
      <c r="A233" t="s">
        <v>854</v>
      </c>
    </row>
    <row r="234" spans="1:3" x14ac:dyDescent="0.2">
      <c r="A234" t="s">
        <v>416</v>
      </c>
    </row>
    <row r="235" spans="1:3" x14ac:dyDescent="0.2">
      <c r="A235" t="s">
        <v>417</v>
      </c>
    </row>
    <row r="236" spans="1:3" x14ac:dyDescent="0.2">
      <c r="A236" t="s">
        <v>413</v>
      </c>
      <c r="B236" t="s">
        <v>411</v>
      </c>
    </row>
    <row r="237" spans="1:3" x14ac:dyDescent="0.2">
      <c r="A237" t="s">
        <v>412</v>
      </c>
      <c r="B237" t="s">
        <v>411</v>
      </c>
    </row>
    <row r="238" spans="1:3" x14ac:dyDescent="0.2">
      <c r="A238" t="s">
        <v>414</v>
      </c>
      <c r="B238" t="s">
        <v>411</v>
      </c>
    </row>
    <row r="239" spans="1:3" x14ac:dyDescent="0.2">
      <c r="A239" t="s">
        <v>418</v>
      </c>
      <c r="B239" t="s">
        <v>411</v>
      </c>
    </row>
    <row r="240" spans="1:3" x14ac:dyDescent="0.2">
      <c r="A240" t="s">
        <v>415</v>
      </c>
    </row>
    <row r="241" spans="1:1" x14ac:dyDescent="0.2">
      <c r="A241" t="s">
        <v>419</v>
      </c>
    </row>
    <row r="242" spans="1:1" x14ac:dyDescent="0.2">
      <c r="A242" t="s">
        <v>420</v>
      </c>
    </row>
    <row r="243" spans="1:1" x14ac:dyDescent="0.2">
      <c r="A243" t="s">
        <v>1125</v>
      </c>
    </row>
    <row r="244" spans="1:1" x14ac:dyDescent="0.2">
      <c r="A244" t="s">
        <v>856</v>
      </c>
    </row>
    <row r="245" spans="1:1" x14ac:dyDescent="0.2">
      <c r="A245" t="s">
        <v>854</v>
      </c>
    </row>
    <row r="246" spans="1:1" x14ac:dyDescent="0.2">
      <c r="A246" t="s">
        <v>535</v>
      </c>
    </row>
    <row r="247" spans="1:1" x14ac:dyDescent="0.2">
      <c r="A247" t="s">
        <v>536</v>
      </c>
    </row>
    <row r="248" spans="1:1" x14ac:dyDescent="0.2">
      <c r="A248" t="s">
        <v>537</v>
      </c>
    </row>
    <row r="249" spans="1:1" x14ac:dyDescent="0.2">
      <c r="A249" t="s">
        <v>538</v>
      </c>
    </row>
    <row r="250" spans="1:1" x14ac:dyDescent="0.2">
      <c r="A250" t="s">
        <v>539</v>
      </c>
    </row>
    <row r="251" spans="1:1" x14ac:dyDescent="0.2">
      <c r="A251" t="s">
        <v>1126</v>
      </c>
    </row>
    <row r="252" spans="1:1" x14ac:dyDescent="0.2">
      <c r="A252" t="s">
        <v>1115</v>
      </c>
    </row>
    <row r="253" spans="1:1" x14ac:dyDescent="0.2">
      <c r="A253" t="s">
        <v>657</v>
      </c>
    </row>
    <row r="254" spans="1:1" x14ac:dyDescent="0.2">
      <c r="A254" t="s">
        <v>1122</v>
      </c>
    </row>
    <row r="255" spans="1:1" x14ac:dyDescent="0.2">
      <c r="A255" t="s">
        <v>570</v>
      </c>
    </row>
    <row r="256" spans="1:1" x14ac:dyDescent="0.2">
      <c r="A256" t="s">
        <v>410</v>
      </c>
    </row>
    <row r="257" spans="1:6" x14ac:dyDescent="0.2">
      <c r="A257" t="s">
        <v>667</v>
      </c>
    </row>
    <row r="258" spans="1:6" x14ac:dyDescent="0.2">
      <c r="A258" t="s">
        <v>1117</v>
      </c>
    </row>
    <row r="259" spans="1:6" x14ac:dyDescent="0.2">
      <c r="A259" t="s">
        <v>854</v>
      </c>
      <c r="B259" s="298"/>
      <c r="C259" s="298"/>
      <c r="D259" s="298"/>
      <c r="E259" s="298"/>
      <c r="F259" s="298"/>
    </row>
    <row r="260" spans="1:6" x14ac:dyDescent="0.2">
      <c r="A260" t="s">
        <v>432</v>
      </c>
      <c r="B260" s="298"/>
      <c r="C260" s="298"/>
      <c r="D260" s="298"/>
      <c r="E260" s="298"/>
      <c r="F260" s="298"/>
    </row>
    <row r="261" spans="1:6" x14ac:dyDescent="0.2">
      <c r="A261" t="s">
        <v>433</v>
      </c>
    </row>
    <row r="262" spans="1:6" x14ac:dyDescent="0.2">
      <c r="A262" t="s">
        <v>434</v>
      </c>
      <c r="B262" s="77"/>
      <c r="C262" s="77"/>
      <c r="D262" s="77"/>
      <c r="E262" s="77"/>
      <c r="F262" s="77"/>
    </row>
    <row r="263" spans="1:6" x14ac:dyDescent="0.2">
      <c r="A263" t="s">
        <v>435</v>
      </c>
      <c r="B263" s="77"/>
      <c r="C263" s="77"/>
      <c r="D263" s="77"/>
      <c r="E263" s="77"/>
      <c r="F263" s="77"/>
    </row>
    <row r="264" spans="1:6" x14ac:dyDescent="0.2">
      <c r="A264" t="s">
        <v>436</v>
      </c>
      <c r="B264" s="77"/>
      <c r="C264" s="77"/>
      <c r="D264" s="77"/>
      <c r="E264" s="77"/>
      <c r="F264" s="77"/>
    </row>
    <row r="265" spans="1:6" x14ac:dyDescent="0.2">
      <c r="A265" t="s">
        <v>437</v>
      </c>
      <c r="B265" s="77"/>
      <c r="D265" s="77"/>
      <c r="E265" s="77"/>
      <c r="F265" s="77"/>
    </row>
    <row r="266" spans="1:6" x14ac:dyDescent="0.2">
      <c r="A266" t="s">
        <v>1100</v>
      </c>
      <c r="B266" s="77"/>
      <c r="C266" s="77"/>
      <c r="D266" s="77"/>
      <c r="E266" s="77"/>
      <c r="F266" s="77"/>
    </row>
    <row r="267" spans="1:6" x14ac:dyDescent="0.2">
      <c r="A267" t="s">
        <v>605</v>
      </c>
      <c r="B267" s="77"/>
      <c r="C267" s="77"/>
      <c r="D267" s="77"/>
      <c r="E267" s="77"/>
      <c r="F267" s="77"/>
    </row>
    <row r="268" spans="1:6" x14ac:dyDescent="0.2">
      <c r="A268" t="s">
        <v>1118</v>
      </c>
      <c r="B268" s="77"/>
      <c r="C268" s="77"/>
      <c r="D268" s="77"/>
      <c r="E268" s="77"/>
      <c r="F268" s="77"/>
    </row>
    <row r="269" spans="1:6" x14ac:dyDescent="0.2">
      <c r="A269" t="s">
        <v>606</v>
      </c>
      <c r="B269" s="77"/>
      <c r="C269" s="77"/>
      <c r="D269" s="77"/>
      <c r="E269" s="77"/>
      <c r="F269" s="77"/>
    </row>
    <row r="270" spans="1:6" x14ac:dyDescent="0.2">
      <c r="A270" t="s">
        <v>607</v>
      </c>
      <c r="B270" s="77"/>
      <c r="C270" s="77"/>
      <c r="D270" s="77"/>
      <c r="E270" s="77"/>
      <c r="F270" s="77"/>
    </row>
    <row r="271" spans="1:6" x14ac:dyDescent="0.2">
      <c r="B271" s="77">
        <v>44469</v>
      </c>
      <c r="C271" s="77">
        <v>44104</v>
      </c>
      <c r="D271" s="77">
        <v>43738</v>
      </c>
      <c r="E271" s="77">
        <v>43373</v>
      </c>
      <c r="F271" s="77" t="s">
        <v>1121</v>
      </c>
    </row>
    <row r="272" spans="1:6" x14ac:dyDescent="0.2">
      <c r="A272" t="s">
        <v>608</v>
      </c>
      <c r="B272" s="77"/>
      <c r="C272" s="77"/>
      <c r="D272" s="77"/>
      <c r="E272" s="77"/>
      <c r="F272" s="77"/>
    </row>
    <row r="273" spans="1:6" x14ac:dyDescent="0.2">
      <c r="A273" t="s">
        <v>609</v>
      </c>
      <c r="B273" s="77"/>
      <c r="C273" s="77"/>
      <c r="D273" s="77"/>
      <c r="E273" s="77"/>
      <c r="F273" s="77"/>
    </row>
    <row r="274" spans="1:6" x14ac:dyDescent="0.2">
      <c r="A274" t="s">
        <v>547</v>
      </c>
      <c r="B274" s="298">
        <v>94680</v>
      </c>
      <c r="C274" s="298">
        <v>57411</v>
      </c>
      <c r="D274" s="298">
        <v>55256</v>
      </c>
      <c r="E274" s="298">
        <v>59531</v>
      </c>
      <c r="F274" s="298" t="s">
        <v>1121</v>
      </c>
    </row>
    <row r="275" spans="1:6" x14ac:dyDescent="0.2">
      <c r="A275" t="s">
        <v>548</v>
      </c>
      <c r="B275" s="77">
        <v>11284</v>
      </c>
      <c r="C275" s="77">
        <v>11056</v>
      </c>
      <c r="D275" s="77">
        <v>12547</v>
      </c>
      <c r="E275" s="77">
        <v>10903</v>
      </c>
      <c r="F275" s="77" t="s">
        <v>1121</v>
      </c>
    </row>
    <row r="276" spans="1:6" x14ac:dyDescent="0.2">
      <c r="A276" t="s">
        <v>610</v>
      </c>
      <c r="B276" s="77">
        <v>-4911</v>
      </c>
      <c r="C276" s="77">
        <v>5690</v>
      </c>
      <c r="D276" s="77">
        <v>-3488</v>
      </c>
      <c r="E276" s="77">
        <v>34694</v>
      </c>
      <c r="F276" s="77" t="s">
        <v>1121</v>
      </c>
    </row>
    <row r="277" spans="1:6" x14ac:dyDescent="0.2">
      <c r="A277" t="s">
        <v>611</v>
      </c>
      <c r="B277" s="77">
        <v>0</v>
      </c>
      <c r="C277" s="77">
        <v>0</v>
      </c>
      <c r="D277" s="77">
        <v>0</v>
      </c>
      <c r="E277" s="77">
        <v>0</v>
      </c>
      <c r="F277" s="77" t="s">
        <v>1121</v>
      </c>
    </row>
    <row r="278" spans="1:6" x14ac:dyDescent="0.2">
      <c r="A278" t="s">
        <v>612</v>
      </c>
      <c r="B278" s="77">
        <v>2985</v>
      </c>
      <c r="C278" s="77">
        <v>6517</v>
      </c>
      <c r="D278" s="77">
        <v>5076</v>
      </c>
      <c r="E278" s="77">
        <v>-27694</v>
      </c>
      <c r="F278" s="77" t="s">
        <v>1121</v>
      </c>
    </row>
    <row r="279" spans="1:6" x14ac:dyDescent="0.2">
      <c r="A279" t="s">
        <v>549</v>
      </c>
      <c r="B279" s="77">
        <v>104038</v>
      </c>
      <c r="C279" s="77">
        <v>80674</v>
      </c>
      <c r="D279" s="77">
        <v>69391</v>
      </c>
      <c r="E279" s="77">
        <v>77434</v>
      </c>
      <c r="F279" s="77" t="s">
        <v>1121</v>
      </c>
    </row>
    <row r="280" spans="1:6" x14ac:dyDescent="0.2">
      <c r="A280" t="s">
        <v>550</v>
      </c>
      <c r="B280" s="77">
        <v>-11085</v>
      </c>
      <c r="C280" s="77">
        <v>-7309</v>
      </c>
      <c r="D280" s="77">
        <v>-10495</v>
      </c>
      <c r="E280" s="77">
        <v>-13313</v>
      </c>
      <c r="F280" s="77" t="s">
        <v>1121</v>
      </c>
    </row>
    <row r="281" spans="1:6" x14ac:dyDescent="0.2">
      <c r="A281" t="s">
        <v>613</v>
      </c>
      <c r="B281" s="77">
        <v>-33</v>
      </c>
      <c r="C281" s="77">
        <v>-1524</v>
      </c>
      <c r="D281" s="77">
        <v>-624</v>
      </c>
      <c r="E281" s="77">
        <v>0</v>
      </c>
      <c r="F281" s="77" t="s">
        <v>1121</v>
      </c>
    </row>
    <row r="282" spans="1:6" x14ac:dyDescent="0.2">
      <c r="A282" t="s">
        <v>614</v>
      </c>
      <c r="B282" s="77">
        <v>-2819</v>
      </c>
      <c r="C282" s="77">
        <v>5335</v>
      </c>
      <c r="D282" s="77">
        <v>58093</v>
      </c>
      <c r="E282" s="77">
        <v>30845</v>
      </c>
      <c r="F282" s="77" t="s">
        <v>1121</v>
      </c>
    </row>
    <row r="283" spans="1:6" x14ac:dyDescent="0.2">
      <c r="A283" t="s">
        <v>615</v>
      </c>
      <c r="B283" s="77">
        <v>-608</v>
      </c>
      <c r="C283" s="77">
        <v>-791</v>
      </c>
      <c r="D283" s="77">
        <v>-1078</v>
      </c>
      <c r="E283" s="77">
        <v>-1466</v>
      </c>
      <c r="F283" s="77" t="s">
        <v>1121</v>
      </c>
    </row>
    <row r="284" spans="1:6" x14ac:dyDescent="0.2">
      <c r="A284" t="s">
        <v>616</v>
      </c>
      <c r="B284" s="77">
        <v>-14545</v>
      </c>
      <c r="C284" s="77">
        <v>-4289</v>
      </c>
      <c r="D284" s="77">
        <v>45896</v>
      </c>
      <c r="E284" s="77">
        <v>16066</v>
      </c>
      <c r="F284" s="77" t="s">
        <v>1121</v>
      </c>
    </row>
    <row r="285" spans="1:6" x14ac:dyDescent="0.2">
      <c r="A285" t="s">
        <v>617</v>
      </c>
      <c r="B285" s="77"/>
      <c r="C285" s="77"/>
      <c r="D285" s="77"/>
      <c r="E285" s="77"/>
      <c r="F285" s="77"/>
    </row>
    <row r="286" spans="1:6" x14ac:dyDescent="0.2">
      <c r="B286" s="77">
        <v>44469</v>
      </c>
      <c r="C286" s="77">
        <v>44104</v>
      </c>
      <c r="D286" s="77">
        <v>43738</v>
      </c>
      <c r="E286" s="77">
        <v>43373</v>
      </c>
      <c r="F286" s="77" t="s">
        <v>1121</v>
      </c>
    </row>
    <row r="287" spans="1:6" x14ac:dyDescent="0.2">
      <c r="A287" t="s">
        <v>618</v>
      </c>
      <c r="B287" s="77">
        <v>-84866</v>
      </c>
      <c r="C287" s="77">
        <v>-71478</v>
      </c>
      <c r="D287" s="77">
        <v>-66116</v>
      </c>
      <c r="E287" s="77">
        <v>-74596</v>
      </c>
      <c r="F287" s="77" t="s">
        <v>1121</v>
      </c>
    </row>
    <row r="288" spans="1:6" x14ac:dyDescent="0.2">
      <c r="A288" t="s">
        <v>619</v>
      </c>
      <c r="B288" s="77">
        <v>11643</v>
      </c>
      <c r="C288" s="77">
        <v>3462</v>
      </c>
      <c r="D288" s="77">
        <v>-1842</v>
      </c>
      <c r="E288" s="77">
        <v>469</v>
      </c>
      <c r="F288" s="77" t="s">
        <v>1121</v>
      </c>
    </row>
    <row r="289" spans="1:6" x14ac:dyDescent="0.2">
      <c r="A289" t="s">
        <v>620</v>
      </c>
      <c r="B289" s="77">
        <v>1022</v>
      </c>
      <c r="C289" s="77">
        <v>-963</v>
      </c>
      <c r="D289" s="77">
        <v>-5977</v>
      </c>
      <c r="E289" s="77">
        <v>-37</v>
      </c>
      <c r="F289" s="77" t="s">
        <v>1121</v>
      </c>
    </row>
    <row r="290" spans="1:6" x14ac:dyDescent="0.2">
      <c r="A290" t="s">
        <v>551</v>
      </c>
      <c r="B290" s="77">
        <v>-14467</v>
      </c>
      <c r="C290" s="77">
        <v>-14081</v>
      </c>
      <c r="D290" s="77">
        <v>-14119</v>
      </c>
      <c r="E290" s="77">
        <v>-13712</v>
      </c>
      <c r="F290" s="77" t="s">
        <v>1121</v>
      </c>
    </row>
    <row r="291" spans="1:6" x14ac:dyDescent="0.2">
      <c r="A291" t="s">
        <v>621</v>
      </c>
      <c r="B291" s="77">
        <v>-6685</v>
      </c>
      <c r="C291" s="77">
        <v>-3760</v>
      </c>
      <c r="D291" s="77">
        <v>-2922</v>
      </c>
      <c r="E291" s="77">
        <v>0</v>
      </c>
      <c r="F291" s="77" t="s">
        <v>1121</v>
      </c>
    </row>
    <row r="292" spans="1:6" x14ac:dyDescent="0.2">
      <c r="A292" t="s">
        <v>622</v>
      </c>
      <c r="B292" s="77">
        <v>-93353</v>
      </c>
      <c r="C292" s="77">
        <v>-86820</v>
      </c>
      <c r="D292" s="77">
        <v>-90976</v>
      </c>
      <c r="E292" s="77">
        <v>-87876</v>
      </c>
      <c r="F292" s="77" t="s">
        <v>1121</v>
      </c>
    </row>
    <row r="293" spans="1:6" x14ac:dyDescent="0.2">
      <c r="A293" t="s">
        <v>623</v>
      </c>
      <c r="B293" s="77">
        <v>0</v>
      </c>
      <c r="C293" s="77">
        <v>0</v>
      </c>
      <c r="D293" s="77">
        <v>0</v>
      </c>
      <c r="E293" s="77">
        <v>0</v>
      </c>
      <c r="F293" s="77" t="s">
        <v>1121</v>
      </c>
    </row>
    <row r="294" spans="1:6" x14ac:dyDescent="0.2">
      <c r="A294" t="s">
        <v>624</v>
      </c>
      <c r="B294" s="77">
        <v>-3860</v>
      </c>
      <c r="C294" s="77">
        <v>-10435</v>
      </c>
      <c r="D294" s="77">
        <v>24311</v>
      </c>
      <c r="E294" s="77">
        <v>5624</v>
      </c>
      <c r="F294" s="77" t="s">
        <v>1121</v>
      </c>
    </row>
    <row r="295" spans="1:6" x14ac:dyDescent="0.2">
      <c r="A295" t="s">
        <v>625</v>
      </c>
      <c r="B295" s="77">
        <v>39789</v>
      </c>
      <c r="C295" s="77">
        <v>50224</v>
      </c>
      <c r="D295" s="77">
        <v>25913</v>
      </c>
      <c r="E295" s="77">
        <v>20289</v>
      </c>
      <c r="F295" s="77" t="s">
        <v>1121</v>
      </c>
    </row>
    <row r="296" spans="1:6" x14ac:dyDescent="0.2">
      <c r="A296" t="s">
        <v>626</v>
      </c>
      <c r="B296" s="77">
        <v>35929</v>
      </c>
      <c r="C296" s="77">
        <v>39789</v>
      </c>
      <c r="D296" s="77">
        <v>50224</v>
      </c>
      <c r="E296" s="77">
        <v>25913</v>
      </c>
      <c r="F296" s="77" t="s">
        <v>1121</v>
      </c>
    </row>
    <row r="297" spans="1:6" x14ac:dyDescent="0.2">
      <c r="A297" t="s">
        <v>446</v>
      </c>
      <c r="B297" s="77">
        <v>5.61</v>
      </c>
      <c r="C297" s="77">
        <v>3.28</v>
      </c>
      <c r="D297" s="77">
        <v>2.97</v>
      </c>
      <c r="E297" s="77">
        <v>2.98</v>
      </c>
      <c r="F297" s="77" t="s">
        <v>1121</v>
      </c>
    </row>
    <row r="298" spans="1:6" x14ac:dyDescent="0.2">
      <c r="A298" t="s">
        <v>447</v>
      </c>
      <c r="B298" s="77"/>
    </row>
    <row r="299" spans="1:6" x14ac:dyDescent="0.2">
      <c r="A299" t="s">
        <v>542</v>
      </c>
    </row>
    <row r="300" spans="1:6" x14ac:dyDescent="0.2">
      <c r="A300" t="s">
        <v>366</v>
      </c>
    </row>
    <row r="301" spans="1:6" x14ac:dyDescent="0.2">
      <c r="A301" t="s">
        <v>448</v>
      </c>
    </row>
    <row r="302" spans="1:6" x14ac:dyDescent="0.2">
      <c r="A302" t="s">
        <v>449</v>
      </c>
    </row>
    <row r="303" spans="1:6" x14ac:dyDescent="0.2">
      <c r="A303" t="s">
        <v>338</v>
      </c>
    </row>
    <row r="304" spans="1:6" x14ac:dyDescent="0.2">
      <c r="A304" t="s">
        <v>450</v>
      </c>
    </row>
    <row r="305" spans="1:10" x14ac:dyDescent="0.2">
      <c r="A305" t="s">
        <v>355</v>
      </c>
    </row>
    <row r="306" spans="1:10" x14ac:dyDescent="0.2">
      <c r="A306" t="s">
        <v>451</v>
      </c>
    </row>
    <row r="307" spans="1:10" x14ac:dyDescent="0.2">
      <c r="A307" t="s">
        <v>363</v>
      </c>
    </row>
    <row r="308" spans="1:10" x14ac:dyDescent="0.2">
      <c r="A308" t="s">
        <v>543</v>
      </c>
    </row>
    <row r="309" spans="1:10" x14ac:dyDescent="0.2">
      <c r="A309" t="s">
        <v>452</v>
      </c>
    </row>
    <row r="310" spans="1:10" x14ac:dyDescent="0.2">
      <c r="A310" t="s">
        <v>453</v>
      </c>
    </row>
    <row r="311" spans="1:10" x14ac:dyDescent="0.2">
      <c r="A311" t="s">
        <v>454</v>
      </c>
    </row>
    <row r="312" spans="1:10" x14ac:dyDescent="0.2">
      <c r="A312" t="s">
        <v>455</v>
      </c>
    </row>
    <row r="313" spans="1:10" x14ac:dyDescent="0.2">
      <c r="A313" t="s">
        <v>1096</v>
      </c>
    </row>
    <row r="314" spans="1:10" x14ac:dyDescent="0.2">
      <c r="A314" s="74" t="s">
        <v>456</v>
      </c>
    </row>
    <row r="315" spans="1:10" x14ac:dyDescent="0.2">
      <c r="A315" t="s">
        <v>1097</v>
      </c>
      <c r="I315" s="187" t="s">
        <v>645</v>
      </c>
      <c r="J315" s="187" t="s">
        <v>567</v>
      </c>
    </row>
    <row r="316" spans="1:10" x14ac:dyDescent="0.2">
      <c r="A316" s="187" t="s">
        <v>457</v>
      </c>
      <c r="I316" s="187" t="s">
        <v>645</v>
      </c>
      <c r="J316" s="187" t="s">
        <v>561</v>
      </c>
    </row>
    <row r="317" spans="1:10" x14ac:dyDescent="0.2">
      <c r="A317" t="s">
        <v>458</v>
      </c>
    </row>
    <row r="318" spans="1:10" x14ac:dyDescent="0.2">
      <c r="A318" t="s">
        <v>459</v>
      </c>
      <c r="I318" s="186">
        <v>10.31</v>
      </c>
      <c r="J318" s="344" t="s">
        <v>644</v>
      </c>
    </row>
    <row r="319" spans="1:10" x14ac:dyDescent="0.2">
      <c r="A319" s="74" t="s">
        <v>387</v>
      </c>
      <c r="I319" s="186">
        <v>242.46</v>
      </c>
      <c r="J319" s="344" t="s">
        <v>567</v>
      </c>
    </row>
    <row r="320" spans="1:10" x14ac:dyDescent="0.2">
      <c r="A320" s="74" t="s">
        <v>460</v>
      </c>
    </row>
    <row r="321" spans="1:3" x14ac:dyDescent="0.2">
      <c r="A321" t="s">
        <v>311</v>
      </c>
    </row>
    <row r="322" spans="1:3" x14ac:dyDescent="0.2">
      <c r="A322" t="s">
        <v>640</v>
      </c>
      <c r="C322" s="75"/>
    </row>
    <row r="323" spans="1:3" x14ac:dyDescent="0.2">
      <c r="A323" t="s">
        <v>569</v>
      </c>
      <c r="C323" s="75"/>
    </row>
    <row r="324" spans="1:3" x14ac:dyDescent="0.2">
      <c r="A324" t="s">
        <v>827</v>
      </c>
      <c r="C324" s="75"/>
    </row>
    <row r="325" spans="1:3" x14ac:dyDescent="0.2">
      <c r="A325" t="s">
        <v>674</v>
      </c>
      <c r="C325" s="75"/>
    </row>
    <row r="326" spans="1:3" x14ac:dyDescent="0.2">
      <c r="A326" t="s">
        <v>461</v>
      </c>
      <c r="C326" s="75"/>
    </row>
    <row r="327" spans="1:3" x14ac:dyDescent="0.2">
      <c r="A327" t="s">
        <v>325</v>
      </c>
      <c r="C327" s="75"/>
    </row>
    <row r="328" spans="1:3" x14ac:dyDescent="0.2">
      <c r="A328" t="s">
        <v>348</v>
      </c>
      <c r="C328" s="75"/>
    </row>
    <row r="329" spans="1:3" x14ac:dyDescent="0.2">
      <c r="A329" t="s">
        <v>462</v>
      </c>
      <c r="C329" s="75"/>
    </row>
    <row r="330" spans="1:3" x14ac:dyDescent="0.2">
      <c r="A330" t="s">
        <v>244</v>
      </c>
      <c r="C330" s="75"/>
    </row>
    <row r="331" spans="1:3" x14ac:dyDescent="0.2">
      <c r="A331" t="s">
        <v>463</v>
      </c>
      <c r="C331" s="75"/>
    </row>
    <row r="332" spans="1:3" x14ac:dyDescent="0.2">
      <c r="A332" t="s">
        <v>464</v>
      </c>
      <c r="C332" s="75"/>
    </row>
    <row r="333" spans="1:3" x14ac:dyDescent="0.2">
      <c r="A333" t="s">
        <v>312</v>
      </c>
      <c r="C333" s="75"/>
    </row>
    <row r="334" spans="1:3" x14ac:dyDescent="0.2">
      <c r="A334" t="s">
        <v>322</v>
      </c>
    </row>
    <row r="335" spans="1:3" x14ac:dyDescent="0.2">
      <c r="A335" t="s">
        <v>823</v>
      </c>
    </row>
    <row r="336" spans="1:3" x14ac:dyDescent="0.2">
      <c r="A336" t="s">
        <v>334</v>
      </c>
      <c r="C336" s="75"/>
    </row>
    <row r="337" spans="1:3" x14ac:dyDescent="0.2">
      <c r="A337" t="s">
        <v>323</v>
      </c>
    </row>
    <row r="338" spans="1:3" x14ac:dyDescent="0.2">
      <c r="A338" t="s">
        <v>324</v>
      </c>
    </row>
    <row r="339" spans="1:3" x14ac:dyDescent="0.2">
      <c r="A339" t="s">
        <v>465</v>
      </c>
      <c r="C339" s="75"/>
    </row>
    <row r="340" spans="1:3" x14ac:dyDescent="0.2">
      <c r="A340" t="s">
        <v>466</v>
      </c>
    </row>
    <row r="341" spans="1:3" x14ac:dyDescent="0.2">
      <c r="A341" t="s">
        <v>571</v>
      </c>
    </row>
    <row r="342" spans="1:3" x14ac:dyDescent="0.2">
      <c r="A342" t="s">
        <v>658</v>
      </c>
      <c r="C342" s="75"/>
    </row>
    <row r="343" spans="1:3" x14ac:dyDescent="0.2">
      <c r="A343" t="s">
        <v>659</v>
      </c>
    </row>
    <row r="344" spans="1:3" x14ac:dyDescent="0.2">
      <c r="A344" t="s">
        <v>467</v>
      </c>
    </row>
    <row r="346" spans="1:3" x14ac:dyDescent="0.2">
      <c r="A346" t="s">
        <v>468</v>
      </c>
    </row>
    <row r="347" spans="1:3" x14ac:dyDescent="0.2">
      <c r="A347" t="s">
        <v>469</v>
      </c>
    </row>
    <row r="348" spans="1:3" x14ac:dyDescent="0.2">
      <c r="A348" t="s">
        <v>470</v>
      </c>
    </row>
    <row r="349" spans="1:3" x14ac:dyDescent="0.2">
      <c r="A349" t="s">
        <v>471</v>
      </c>
    </row>
    <row r="350" spans="1:3" x14ac:dyDescent="0.2">
      <c r="A350" t="s">
        <v>472</v>
      </c>
    </row>
    <row r="351" spans="1:3" x14ac:dyDescent="0.2">
      <c r="A351" t="s">
        <v>473</v>
      </c>
    </row>
    <row r="353" spans="1:1" x14ac:dyDescent="0.2">
      <c r="A353" t="s">
        <v>857</v>
      </c>
    </row>
    <row r="354" spans="1:1" x14ac:dyDescent="0.2">
      <c r="A354" t="s">
        <v>544</v>
      </c>
    </row>
    <row r="355" spans="1:1" x14ac:dyDescent="0.2">
      <c r="A355" t="s">
        <v>858</v>
      </c>
    </row>
    <row r="356" spans="1:1" x14ac:dyDescent="0.2">
      <c r="A356" t="s">
        <v>1098</v>
      </c>
    </row>
    <row r="357" spans="1:1" x14ac:dyDescent="0.2">
      <c r="A357" t="s">
        <v>1104</v>
      </c>
    </row>
    <row r="358" spans="1:1" x14ac:dyDescent="0.2">
      <c r="A358" t="s">
        <v>828</v>
      </c>
    </row>
    <row r="359" spans="1:1" x14ac:dyDescent="0.2">
      <c r="A359" t="s">
        <v>474</v>
      </c>
    </row>
    <row r="360" spans="1:1" x14ac:dyDescent="0.2">
      <c r="A360" t="s">
        <v>1105</v>
      </c>
    </row>
    <row r="361" spans="1:1" x14ac:dyDescent="0.2">
      <c r="A361" t="s">
        <v>475</v>
      </c>
    </row>
    <row r="362" spans="1:1" x14ac:dyDescent="0.2">
      <c r="A362" t="s">
        <v>660</v>
      </c>
    </row>
    <row r="363" spans="1:1" x14ac:dyDescent="0.2">
      <c r="A363" t="s">
        <v>641</v>
      </c>
    </row>
    <row r="364" spans="1:1" x14ac:dyDescent="0.2">
      <c r="A364" t="s">
        <v>642</v>
      </c>
    </row>
    <row r="365" spans="1:1" x14ac:dyDescent="0.2">
      <c r="A365" t="s">
        <v>643</v>
      </c>
    </row>
    <row r="401" spans="8:9" x14ac:dyDescent="0.2">
      <c r="H401" s="379">
        <v>55256</v>
      </c>
      <c r="I401" s="344" t="s">
        <v>587</v>
      </c>
    </row>
    <row r="402" spans="8:9" x14ac:dyDescent="0.2">
      <c r="H402" s="379">
        <v>2160</v>
      </c>
      <c r="I402" s="344" t="s">
        <v>644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indexed="46"/>
  </sheetPr>
  <dimension ref="A16:O38"/>
  <sheetViews>
    <sheetView showGridLines="0" showRowColHeaders="0" workbookViewId="0">
      <selection activeCell="G16" sqref="G16:I16"/>
    </sheetView>
  </sheetViews>
  <sheetFormatPr defaultColWidth="9" defaultRowHeight="13.2" x14ac:dyDescent="0.25"/>
  <cols>
    <col min="1" max="7" width="9" style="82"/>
    <col min="8" max="8" width="1.88671875" style="82" customWidth="1"/>
    <col min="9" max="16384" width="9" style="82"/>
  </cols>
  <sheetData>
    <row r="16" spans="7:9" ht="13.8" x14ac:dyDescent="0.3">
      <c r="G16" s="595" t="s">
        <v>144</v>
      </c>
      <c r="H16" s="596"/>
      <c r="I16" s="597"/>
    </row>
    <row r="18" spans="1:15" ht="41.25" customHeight="1" x14ac:dyDescent="0.25">
      <c r="A18" s="598" t="s">
        <v>181</v>
      </c>
      <c r="B18" s="598"/>
      <c r="C18" s="598"/>
      <c r="D18" s="598"/>
      <c r="E18" s="598"/>
      <c r="F18" s="598"/>
      <c r="G18" s="598"/>
      <c r="H18" s="598"/>
      <c r="I18" s="598"/>
      <c r="J18" s="598"/>
      <c r="K18" s="598"/>
      <c r="L18" s="598"/>
      <c r="M18" s="598"/>
      <c r="N18" s="598"/>
      <c r="O18" s="598"/>
    </row>
    <row r="34" spans="1:15" ht="13.8" x14ac:dyDescent="0.3">
      <c r="G34" s="599"/>
      <c r="H34" s="599"/>
      <c r="I34" s="599"/>
    </row>
    <row r="36" spans="1:15" ht="45.75" customHeight="1" x14ac:dyDescent="0.25">
      <c r="A36" s="598" t="s">
        <v>32</v>
      </c>
      <c r="B36" s="598"/>
      <c r="C36" s="598"/>
      <c r="D36" s="598"/>
      <c r="E36" s="598"/>
      <c r="F36" s="598"/>
      <c r="G36" s="598"/>
      <c r="H36" s="598"/>
      <c r="I36" s="598"/>
      <c r="J36" s="598"/>
      <c r="K36" s="598"/>
      <c r="L36" s="598"/>
      <c r="M36" s="598"/>
      <c r="N36" s="598"/>
      <c r="O36" s="598"/>
    </row>
    <row r="38" spans="1:15" ht="13.5" customHeight="1" x14ac:dyDescent="0.25">
      <c r="A38" s="594"/>
      <c r="B38" s="594"/>
      <c r="C38" s="594"/>
      <c r="D38" s="594"/>
      <c r="E38" s="594"/>
      <c r="F38" s="594"/>
      <c r="G38" s="594"/>
      <c r="H38" s="594"/>
      <c r="I38" s="594"/>
      <c r="J38" s="594"/>
      <c r="K38" s="594"/>
      <c r="L38" s="594"/>
      <c r="M38" s="594"/>
      <c r="N38" s="594"/>
      <c r="O38" s="594"/>
    </row>
  </sheetData>
  <mergeCells count="5">
    <mergeCell ref="A38:O38"/>
    <mergeCell ref="G16:I16"/>
    <mergeCell ref="A18:O18"/>
    <mergeCell ref="G34:I34"/>
    <mergeCell ref="A36:O36"/>
  </mergeCells>
  <phoneticPr fontId="53" type="noConversion"/>
  <hyperlinks>
    <hyperlink ref="G16:I16" location="Analysis!A1" display="Return to Analysis Summary " xr:uid="{00000000-0004-0000-0700-000000000000}"/>
  </hyperlinks>
  <pageMargins left="0.75" right="0.75" top="1" bottom="1" header="0.5" footer="0.5"/>
  <pageSetup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indexed="46"/>
  </sheetPr>
  <dimension ref="A16:N35"/>
  <sheetViews>
    <sheetView showGridLines="0" showRowColHeaders="0" workbookViewId="0">
      <selection activeCell="D15" sqref="D15"/>
    </sheetView>
  </sheetViews>
  <sheetFormatPr defaultRowHeight="12" x14ac:dyDescent="0.2"/>
  <sheetData>
    <row r="16" spans="7:9" ht="13.8" x14ac:dyDescent="0.3">
      <c r="G16" s="595" t="s">
        <v>144</v>
      </c>
      <c r="H16" s="596"/>
      <c r="I16" s="597"/>
    </row>
    <row r="17" spans="1:14" ht="7.5" customHeight="1" x14ac:dyDescent="0.2"/>
    <row r="18" spans="1:14" ht="52.5" customHeight="1" x14ac:dyDescent="0.2">
      <c r="A18" s="598" t="s">
        <v>217</v>
      </c>
      <c r="B18" s="598"/>
      <c r="C18" s="598"/>
      <c r="D18" s="598"/>
      <c r="E18" s="598"/>
      <c r="F18" s="598"/>
      <c r="G18" s="598"/>
      <c r="H18" s="598"/>
      <c r="I18" s="598"/>
      <c r="J18" s="598"/>
      <c r="K18" s="598"/>
      <c r="L18" s="598"/>
      <c r="M18" s="598"/>
      <c r="N18" s="598"/>
    </row>
    <row r="19" spans="1:14" ht="67.8" customHeight="1" x14ac:dyDescent="0.2">
      <c r="A19" s="598" t="s">
        <v>177</v>
      </c>
      <c r="B19" s="598"/>
      <c r="C19" s="598"/>
      <c r="D19" s="598"/>
      <c r="E19" s="598"/>
      <c r="F19" s="598"/>
      <c r="G19" s="598"/>
      <c r="H19" s="598"/>
      <c r="I19" s="598"/>
      <c r="J19" s="598"/>
      <c r="K19" s="598"/>
      <c r="L19" s="598"/>
      <c r="M19" s="598"/>
      <c r="N19" s="598"/>
    </row>
    <row r="35" spans="7:9" ht="13.8" x14ac:dyDescent="0.3">
      <c r="G35" s="595" t="s">
        <v>144</v>
      </c>
      <c r="H35" s="596"/>
      <c r="I35" s="597"/>
    </row>
  </sheetData>
  <mergeCells count="4">
    <mergeCell ref="G16:I16"/>
    <mergeCell ref="G35:I35"/>
    <mergeCell ref="A18:N18"/>
    <mergeCell ref="A19:N19"/>
  </mergeCells>
  <phoneticPr fontId="116" type="noConversion"/>
  <hyperlinks>
    <hyperlink ref="G16:I16" location="Analysis!A1" display="Return to Analysis Summary " xr:uid="{00000000-0004-0000-0800-000000000000}"/>
    <hyperlink ref="G35:I35" location="Analysis!A1" display="Return to Analysis Summary " xr:uid="{00000000-0004-0000-0800-000001000000}"/>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40</vt:i4>
      </vt:variant>
    </vt:vector>
  </HeadingPairs>
  <TitlesOfParts>
    <vt:vector size="61" baseType="lpstr">
      <vt:lpstr>Instructions</vt:lpstr>
      <vt:lpstr>Analysis</vt:lpstr>
      <vt:lpstr>Data</vt:lpstr>
      <vt:lpstr>AnnBS</vt:lpstr>
      <vt:lpstr>Income</vt:lpstr>
      <vt:lpstr>Bond rate</vt:lpstr>
      <vt:lpstr>CFlow</vt:lpstr>
      <vt:lpstr>G-1</vt:lpstr>
      <vt:lpstr>G-1a</vt:lpstr>
      <vt:lpstr>G-2</vt:lpstr>
      <vt:lpstr>G-2a</vt:lpstr>
      <vt:lpstr>G-3</vt:lpstr>
      <vt:lpstr>G-3a</vt:lpstr>
      <vt:lpstr>G-4</vt:lpstr>
      <vt:lpstr>G-5</vt:lpstr>
      <vt:lpstr>G-5a</vt:lpstr>
      <vt:lpstr>G-6</vt:lpstr>
      <vt:lpstr>G-6a</vt:lpstr>
      <vt:lpstr>G-7a</vt:lpstr>
      <vt:lpstr>G-8</vt:lpstr>
      <vt:lpstr>G-9</vt:lpstr>
      <vt:lpstr>ARLastYear</vt:lpstr>
      <vt:lpstr>ARThisYear</vt:lpstr>
      <vt:lpstr>Cash</vt:lpstr>
      <vt:lpstr>CommonSharesLastYear</vt:lpstr>
      <vt:lpstr>CommonSharesThisYear</vt:lpstr>
      <vt:lpstr>CompanyID</vt:lpstr>
      <vt:lpstr>CostsLastYear</vt:lpstr>
      <vt:lpstr>CostsThisYear</vt:lpstr>
      <vt:lpstr>CurrentPrice</vt:lpstr>
      <vt:lpstr>Dividends</vt:lpstr>
      <vt:lpstr>InventoriesLastYear</vt:lpstr>
      <vt:lpstr>InventoriesThisYear</vt:lpstr>
      <vt:lpstr>LTDebtLastYear</vt:lpstr>
      <vt:lpstr>LTDebtThisYEar</vt:lpstr>
      <vt:lpstr>Net_Income</vt:lpstr>
      <vt:lpstr>NetCash</vt:lpstr>
      <vt:lpstr>NetCashOperationsLastYear</vt:lpstr>
      <vt:lpstr>NetCashOperationsThisYear</vt:lpstr>
      <vt:lpstr>NetIncome</vt:lpstr>
      <vt:lpstr>NetProfitLastYear</vt:lpstr>
      <vt:lpstr>NetProfitThisYear</vt:lpstr>
      <vt:lpstr>PPELastYear</vt:lpstr>
      <vt:lpstr>PPEThisYear</vt:lpstr>
      <vt:lpstr>Price</vt:lpstr>
      <vt:lpstr>Analysis!Print_Area</vt:lpstr>
      <vt:lpstr>Print_Area_MI</vt:lpstr>
      <vt:lpstr>PTP</vt:lpstr>
      <vt:lpstr>RevenuesLastYear</vt:lpstr>
      <vt:lpstr>RevenuesThisYear</vt:lpstr>
      <vt:lpstr>rngBalanceSheet</vt:lpstr>
      <vt:lpstr>rngEarningsStatement</vt:lpstr>
      <vt:lpstr>rngOtherData</vt:lpstr>
      <vt:lpstr>'Bond rate'!s</vt:lpstr>
      <vt:lpstr>TotalCurrentAssets</vt:lpstr>
      <vt:lpstr>TotalCurrentLiabilities</vt:lpstr>
      <vt:lpstr>TotalInterestPaidonDebt</vt:lpstr>
      <vt:lpstr>TotalStockholdersEquity</vt:lpstr>
      <vt:lpstr>CFlow!Zacks_Ann_cash_flow_statements</vt:lpstr>
      <vt:lpstr>AnnBS!Zacks_balance_sheet</vt:lpstr>
      <vt:lpstr>Income!Zacks_income_statement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Analysis</dc:title>
  <dc:subject>Annual Report</dc:subject>
  <dc:creator>Bob Adams</dc:creator>
  <dc:description>Adds Gross Margin for last two years</dc:description>
  <cp:lastModifiedBy>Bob</cp:lastModifiedBy>
  <cp:lastPrinted>2023-03-02T16:53:16Z</cp:lastPrinted>
  <dcterms:created xsi:type="dcterms:W3CDTF">1999-05-06T22:50:29Z</dcterms:created>
  <dcterms:modified xsi:type="dcterms:W3CDTF">2023-03-02T17:02:07Z</dcterms:modified>
</cp:coreProperties>
</file>